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defaultThemeVersion="124226"/>
  <mc:AlternateContent xmlns:mc="http://schemas.openxmlformats.org/markup-compatibility/2006">
    <mc:Choice Requires="x15">
      <x15ac:absPath xmlns:x15ac="http://schemas.microsoft.com/office/spreadsheetml/2010/11/ac" url="C:\Users\eduar\OneDrive\Área de Trabalho\RESTAURARE\MUSEU SANTA LUZIA\MEDIÇÕES, RELATÓRIOS, ENSAIOS\MEDIÇÕES\MEDIÇÃO 10\"/>
    </mc:Choice>
  </mc:AlternateContent>
  <xr:revisionPtr revIDLastSave="0" documentId="13_ncr:1_{A5D12264-2109-4287-9D1D-DC9D55A20A7C}" xr6:coauthVersionLast="47" xr6:coauthVersionMax="47" xr10:uidLastSave="{00000000-0000-0000-0000-000000000000}"/>
  <bookViews>
    <workbookView xWindow="-120" yWindow="-120" windowWidth="20730" windowHeight="11040" tabRatio="793" activeTab="2" xr2:uid="{00000000-000D-0000-FFFF-FFFF00000000}"/>
  </bookViews>
  <sheets>
    <sheet name="CAPA" sheetId="81" r:id="rId1"/>
    <sheet name="BM GERAL" sheetId="4" r:id="rId2"/>
    <sheet name="BM DETALHADO" sheetId="1" r:id="rId3"/>
    <sheet name="MEMÓRIA DE CÁLCULO" sheetId="83" r:id="rId4"/>
    <sheet name="RELAT. FOTOG." sheetId="8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c" localSheetId="3">[1]Erection!#REF!</definedName>
    <definedName name="\c">[1]Erection!#REF!</definedName>
    <definedName name="\F" localSheetId="3">#REF!</definedName>
    <definedName name="\F">#REF!</definedName>
    <definedName name="\I" localSheetId="3">#REF!</definedName>
    <definedName name="\I">#REF!</definedName>
    <definedName name="\p" localSheetId="3">[1]Erection!#REF!</definedName>
    <definedName name="\p">[1]Erection!#REF!</definedName>
    <definedName name="\R" localSheetId="3">#REF!</definedName>
    <definedName name="\R">#REF!</definedName>
    <definedName name="\S" localSheetId="3">[2]COMPOS1!#REF!</definedName>
    <definedName name="\S">[2]COMPOS1!#REF!</definedName>
    <definedName name="_01_09_96" localSheetId="3">#REF!</definedName>
    <definedName name="_01_09_96">#REF!</definedName>
    <definedName name="_08.302.01" localSheetId="3">#REF!</definedName>
    <definedName name="_08.302.01">#REF!</definedName>
    <definedName name="_Order1" hidden="1">255</definedName>
    <definedName name="_PL1" localSheetId="3">#REF!</definedName>
    <definedName name="_PL1">#REF!</definedName>
    <definedName name="_SR1" localSheetId="3">OFFSET(#REF!,1,,COUNTA(#REF!),1)</definedName>
    <definedName name="_SR1">OFFSET(#REF!,1,,COUNTA(#REF!),1)</definedName>
    <definedName name="A" localSheetId="3">#REF!</definedName>
    <definedName name="A">#REF!</definedName>
    <definedName name="AA">[0]!AA</definedName>
    <definedName name="aauf" localSheetId="3">'[3]Resumo Financeiro'!#REF!</definedName>
    <definedName name="aauf">'[3]Resumo Financeiro'!#REF!</definedName>
    <definedName name="aauq" localSheetId="3">'[3]Resumo Financeiro'!#REF!</definedName>
    <definedName name="aauq">'[3]Resumo Financeiro'!#REF!</definedName>
    <definedName name="aauqs" localSheetId="3">[4]!PassaExtenso</definedName>
    <definedName name="aauqs">[4]!PassaExtenso</definedName>
    <definedName name="ABRA" localSheetId="3">#REF!</definedName>
    <definedName name="ABRA">#REF!</definedName>
    <definedName name="ac">[0]!ac</definedName>
    <definedName name="acumulado" localSheetId="3">#REF!</definedName>
    <definedName name="acumulado">#REF!</definedName>
    <definedName name="adfedfds">[0]!adfedfds</definedName>
    <definedName name="Adir">"D:\Enejota\Galvão\Valec-2010\FIOL\Orçamento"</definedName>
    <definedName name="adit_02_d_l3" localSheetId="3">#REF!</definedName>
    <definedName name="adit_02_d_l3">#REF!</definedName>
    <definedName name="adit_02_d_l4" localSheetId="3">#REF!</definedName>
    <definedName name="adit_02_d_l4">#REF!</definedName>
    <definedName name="adit_02_l4" localSheetId="3">#REF!</definedName>
    <definedName name="adit_02_l4">#REF!</definedName>
    <definedName name="adit_02_r_l3" localSheetId="3">#REF!</definedName>
    <definedName name="adit_02_r_l3">#REF!</definedName>
    <definedName name="AGOA" localSheetId="3">#REF!</definedName>
    <definedName name="AGOA">#REF!</definedName>
    <definedName name="alcool" localSheetId="3">#REF!</definedName>
    <definedName name="alcool">#REF!</definedName>
    <definedName name="ALTA" localSheetId="3">'[5]PRO-08'!#REF!</definedName>
    <definedName name="ALTA">'[5]PRO-08'!#REF!</definedName>
    <definedName name="alteração" localSheetId="3">#REF!</definedName>
    <definedName name="alteração">#REF!</definedName>
    <definedName name="amarela" localSheetId="3">#REF!</definedName>
    <definedName name="amarela">#REF!</definedName>
    <definedName name="ANO" localSheetId="3">#REF!</definedName>
    <definedName name="ANO">#REF!</definedName>
    <definedName name="_xlnm.Print_Area" localSheetId="2">'BM DETALHADO'!$A$1:$O$128</definedName>
    <definedName name="_xlnm.Print_Area" localSheetId="1">'BM GERAL'!$A$1:$J$21</definedName>
    <definedName name="_xlnm.Print_Area" localSheetId="0">CAPA!$A$1:$M$46</definedName>
    <definedName name="_xlnm.Print_Area" localSheetId="3">'MEMÓRIA DE CÁLCULO'!$A$1:$P$1924</definedName>
    <definedName name="_xlnm.Print_Area" localSheetId="4">'RELAT. FOTOG.'!$A$1:$P$111</definedName>
    <definedName name="_xlnm.Print_Area">#REF!</definedName>
    <definedName name="Área_impressão_IM" localSheetId="3">#REF!</definedName>
    <definedName name="Área_impressão_IM">#REF!</definedName>
    <definedName name="azul" localSheetId="3">#REF!</definedName>
    <definedName name="azul">#REF!</definedName>
    <definedName name="AZULSINAL" localSheetId="3">#REF!</definedName>
    <definedName name="AZULSINAL">#REF!</definedName>
    <definedName name="_xlnm.Database" localSheetId="0">#REF!</definedName>
    <definedName name="_xlnm.Database" localSheetId="3">#REF!</definedName>
    <definedName name="_xlnm.Database">#REF!</definedName>
    <definedName name="Base" localSheetId="3">#REF!</definedName>
    <definedName name="Base">#REF!</definedName>
    <definedName name="bb">[0]!bb</definedName>
    <definedName name="BDI" localSheetId="3">#REF!</definedName>
    <definedName name="BDI">#REF!</definedName>
    <definedName name="BG" localSheetId="3">#REF!</definedName>
    <definedName name="BG">#REF!</definedName>
    <definedName name="BGU" localSheetId="3">#REF!</definedName>
    <definedName name="BGU">#REF!</definedName>
    <definedName name="BQ_TABLE1">[0]!BQ_TABLE1</definedName>
    <definedName name="CBU" localSheetId="3">#REF!</definedName>
    <definedName name="CBU">#REF!</definedName>
    <definedName name="CBUII" localSheetId="3">#REF!</definedName>
    <definedName name="CBUII">#REF!</definedName>
    <definedName name="cbuq" localSheetId="3">#REF!</definedName>
    <definedName name="cbuq">#REF!</definedName>
    <definedName name="CBUQB" localSheetId="3">#REF!</definedName>
    <definedName name="CBUQB">#REF!</definedName>
    <definedName name="CBUQc" localSheetId="3">#REF!</definedName>
    <definedName name="CBUQc">#REF!</definedName>
    <definedName name="CdaCto">2</definedName>
    <definedName name="CdaCun">2</definedName>
    <definedName name="CdaQtd">5</definedName>
    <definedName name="CdCto">2</definedName>
    <definedName name="CdCun">2</definedName>
    <definedName name="CdDersa">5</definedName>
    <definedName name="CdEmop">6</definedName>
    <definedName name="Cdir">"D:\Enejota\Galvão\Valec-2010\FIOL\Orçamento\Jul-2010"</definedName>
    <definedName name="CdQtd">5</definedName>
    <definedName name="CdQtEqA">2</definedName>
    <definedName name="CdQtEqP">2</definedName>
    <definedName name="CdQtMoA">2</definedName>
    <definedName name="CdQtMoP">2</definedName>
    <definedName name="CdQtMpA">5</definedName>
    <definedName name="CdQtMpP">5</definedName>
    <definedName name="CdQtTrA">2</definedName>
    <definedName name="CdQtTrP">2</definedName>
    <definedName name="CIFixa" localSheetId="3">#REF!</definedName>
    <definedName name="CIFixa">#REF!</definedName>
    <definedName name="citotal" localSheetId="3">#REF!</definedName>
    <definedName name="citotal">#REF!</definedName>
    <definedName name="CIvar" localSheetId="3">#REF!</definedName>
    <definedName name="CIvar">#REF!</definedName>
    <definedName name="Cliente" localSheetId="3">#REF!</definedName>
    <definedName name="Cliente">#REF!</definedName>
    <definedName name="CM02PkgDetail" localSheetId="3">#REF!</definedName>
    <definedName name="CM02PkgDetail">#REF!</definedName>
    <definedName name="COMP2" localSheetId="3">#REF!</definedName>
    <definedName name="COMP2">#REF!</definedName>
    <definedName name="compeqp" localSheetId="3">#REF!</definedName>
    <definedName name="compeqp">#REF!</definedName>
    <definedName name="con" localSheetId="3">#REF!</definedName>
    <definedName name="con">#REF!</definedName>
    <definedName name="Consumodemateriais" localSheetId="3">'MEMÓRIA DE CÁLCULO'!diesel</definedName>
    <definedName name="Consumodemateriais">'MEMÓRIA DE CÁLCULO'!diesel</definedName>
    <definedName name="Consumodemateriais___0" localSheetId="3">'MEMÓRIA DE CÁLCULO'!diesel</definedName>
    <definedName name="Consumodemateriais___0">'MEMÓRIA DE CÁLCULO'!diesel</definedName>
    <definedName name="cotações" localSheetId="3">#REF!</definedName>
    <definedName name="cotações">#REF!</definedName>
    <definedName name="CRONMO" localSheetId="3">#REF!</definedName>
    <definedName name="CRONMO">#REF!</definedName>
    <definedName name="CRONO">[6]Equipamentos!$B$3:$C$57</definedName>
    <definedName name="cs" localSheetId="3">'[3]Resumo Financeiro'!#REF!</definedName>
    <definedName name="cs">'[3]Resumo Financeiro'!#REF!</definedName>
    <definedName name="CunImp">0</definedName>
    <definedName name="Custo_Unitário_Mão_de_Obra">'[7]Banco de Dados'!$A$1:$C$28</definedName>
    <definedName name="CUSTODIRETO" localSheetId="3">#REF!</definedName>
    <definedName name="CUSTODIRETO">#REF!</definedName>
    <definedName name="CUSTOFIN" localSheetId="3">#REF!</definedName>
    <definedName name="CUSTOFIN">#REF!</definedName>
    <definedName name="CUSTOINDIRETO" localSheetId="3">#REF!</definedName>
    <definedName name="CUSTOINDIRETO">#REF!</definedName>
    <definedName name="Custos_Unitarios_Referencia">'[7]Banco de Dados'!$T$1:$W$215</definedName>
    <definedName name="d" localSheetId="3">#REF!</definedName>
    <definedName name="d">#REF!</definedName>
    <definedName name="dadinho" localSheetId="3">#REF!</definedName>
    <definedName name="dadinho">#REF!</definedName>
    <definedName name="DADOS" localSheetId="3">#REF!</definedName>
    <definedName name="DADOS">#REF!</definedName>
    <definedName name="Data" localSheetId="3">#REF!</definedName>
    <definedName name="Data">#REF!</definedName>
    <definedName name="DATA_BASE" localSheetId="3">#REF!</definedName>
    <definedName name="DATA_BASE">#REF!</definedName>
    <definedName name="DATA_ENTREGA" localSheetId="3">#REF!</definedName>
    <definedName name="DATA_ENTREGA">#REF!</definedName>
    <definedName name="Data_Fecha" localSheetId="3">#REF!</definedName>
    <definedName name="Data_Fecha">#REF!</definedName>
    <definedName name="Data_Final" localSheetId="3">#REF!</definedName>
    <definedName name="Data_Final">#REF!</definedName>
    <definedName name="Data_Início" localSheetId="3">#REF!</definedName>
    <definedName name="Data_Início">#REF!</definedName>
    <definedName name="database">[8]dez00!$F$1</definedName>
    <definedName name="dcrcv" localSheetId="3">#REF!</definedName>
    <definedName name="dcrcv">#REF!</definedName>
    <definedName name="DD" localSheetId="3">#REF!</definedName>
    <definedName name="DD">#REF!</definedName>
    <definedName name="ddddddd">[0]!ddddddd</definedName>
    <definedName name="defensa">[0]!defensa</definedName>
    <definedName name="DEMONSTRATIVO_DO_RESULTADO_GERENCIAL___DGR" localSheetId="3">#REF!</definedName>
    <definedName name="DEMONSTRATIVO_DO_RESULTADO_GERENCIAL___DGR">#REF!</definedName>
    <definedName name="DESCRICAO_OBRA" localSheetId="3">#REF!</definedName>
    <definedName name="DESCRICAO_OBRA">#REF!</definedName>
    <definedName name="DEZA" localSheetId="3">#REF!</definedName>
    <definedName name="DEZA">#REF!</definedName>
    <definedName name="DGA" localSheetId="3">'[5]PRO-08'!#REF!</definedName>
    <definedName name="DGA">'[5]PRO-08'!#REF!</definedName>
    <definedName name="diesel" localSheetId="3">#REF!</definedName>
    <definedName name="diesel">#REF!</definedName>
    <definedName name="Dir_Tecnico" localSheetId="3">#REF!</definedName>
    <definedName name="Dir_Tecnico">#REF!</definedName>
    <definedName name="DJ" localSheetId="3">#REF!</definedName>
    <definedName name="DJ">#REF!</definedName>
    <definedName name="DMT">1</definedName>
    <definedName name="Document" localSheetId="3">#REF!</definedName>
    <definedName name="Document">#REF!</definedName>
    <definedName name="dois">[0]!dois</definedName>
    <definedName name="Duração">[9]dados!$C$7</definedName>
    <definedName name="ECJ" localSheetId="3">#REF!</definedName>
    <definedName name="ECJ">#REF!</definedName>
    <definedName name="ECOFIM_2000" localSheetId="3">#REF!</definedName>
    <definedName name="ECOFIM_2000">#REF!</definedName>
    <definedName name="ECOFIN" localSheetId="3">#REF!</definedName>
    <definedName name="ECOFIN">#REF!</definedName>
    <definedName name="Edital" localSheetId="3">#REF!</definedName>
    <definedName name="Edital">#REF!</definedName>
    <definedName name="edital2">[10]Plan!$I$49</definedName>
    <definedName name="edital3">[10]Plan!$I$49</definedName>
    <definedName name="EJ" localSheetId="3">#REF!</definedName>
    <definedName name="EJ">#REF!</definedName>
    <definedName name="EmpAux">""</definedName>
    <definedName name="Empresa" localSheetId="3">#REF!</definedName>
    <definedName name="Empresa">#REF!</definedName>
    <definedName name="equipamento">[8]EQUIPAMENTO!$A$1:$E$154</definedName>
    <definedName name="Equipamentos">'[11]Banco de Dados'!$F$1:$I$156</definedName>
    <definedName name="ES" localSheetId="3">#REF!</definedName>
    <definedName name="ES">#REF!</definedName>
    <definedName name="ESTADO" localSheetId="3">#REF!</definedName>
    <definedName name="ESTADO">#REF!</definedName>
    <definedName name="EXA" localSheetId="3">'[5]PRO-08'!#REF!</definedName>
    <definedName name="EXA">'[5]PRO-08'!#REF!</definedName>
    <definedName name="extens" localSheetId="3">#REF!</definedName>
    <definedName name="extens">#REF!</definedName>
    <definedName name="Extensão" localSheetId="3">#REF!</definedName>
    <definedName name="Extensão">#REF!</definedName>
    <definedName name="Extenso">[0]!Extenso</definedName>
    <definedName name="Fat" localSheetId="3">#REF!</definedName>
    <definedName name="Fat">#REF!</definedName>
    <definedName name="FATOR" localSheetId="3">#REF!</definedName>
    <definedName name="FATOR">#REF!</definedName>
    <definedName name="FATOR_K" localSheetId="3">#REF!</definedName>
    <definedName name="FATOR_K">#REF!</definedName>
    <definedName name="fc1a" localSheetId="3">'[5]PRO-08'!#REF!</definedName>
    <definedName name="fc1a">'[5]PRO-08'!#REF!</definedName>
    <definedName name="FC2A" localSheetId="3">'[5]PRO-08'!#REF!</definedName>
    <definedName name="FC2A">'[5]PRO-08'!#REF!</definedName>
    <definedName name="FC3A" localSheetId="3">'[5]PRO-08'!#REF!</definedName>
    <definedName name="FC3A">'[5]PRO-08'!#REF!</definedName>
    <definedName name="FECHAMENTO1">[12]FECHAMENTO!$A:$IV</definedName>
    <definedName name="Fer" localSheetId="3">#REF!</definedName>
    <definedName name="Fer">#REF!</definedName>
    <definedName name="FEVA" localSheetId="3">#REF!</definedName>
    <definedName name="FEVA">#REF!</definedName>
    <definedName name="ff" localSheetId="3">OFFSET('MEMÓRIA DE CÁLCULO'!_SR1,,4)</definedName>
    <definedName name="ff">OFFSET(_SR1,,4)</definedName>
    <definedName name="firma2" localSheetId="3">#REF!</definedName>
    <definedName name="firma2">#REF!</definedName>
    <definedName name="fr">[0]!fr</definedName>
    <definedName name="fre">[0]!fre</definedName>
    <definedName name="fuel" localSheetId="3">#REF!</definedName>
    <definedName name="fuel">#REF!</definedName>
    <definedName name="gas" localSheetId="3">#REF!</definedName>
    <definedName name="gas">#REF!</definedName>
    <definedName name="Ger_Tecnico" localSheetId="3">#REF!</definedName>
    <definedName name="Ger_Tecnico">#REF!</definedName>
    <definedName name="hi" localSheetId="3">#REF!</definedName>
    <definedName name="hi">#REF!</definedName>
    <definedName name="hora" localSheetId="3">#REF!</definedName>
    <definedName name="hora">#REF!</definedName>
    <definedName name="hrf">[0]!hrf</definedName>
    <definedName name="I" localSheetId="3">[13]RESTAURAÇÃO!#REF!</definedName>
    <definedName name="I">[13]RESTAURAÇÃO!#REF!</definedName>
    <definedName name="IM" localSheetId="3">#REF!</definedName>
    <definedName name="IM">#REF!</definedName>
    <definedName name="imp" localSheetId="3">'[3]Resumo Financeiro'!#REF!</definedName>
    <definedName name="imp">'[3]Resumo Financeiro'!#REF!</definedName>
    <definedName name="intervencoes" localSheetId="3">[14]!PassaExtenso</definedName>
    <definedName name="intervencoes">[14]!PassaExtenso</definedName>
    <definedName name="J" localSheetId="3">#REF!</definedName>
    <definedName name="J">#REF!</definedName>
    <definedName name="JANA" localSheetId="3">#REF!</definedName>
    <definedName name="JANA">#REF!</definedName>
    <definedName name="JULA" localSheetId="3">#REF!</definedName>
    <definedName name="JULA">#REF!</definedName>
    <definedName name="JUNA" localSheetId="3">#REF!</definedName>
    <definedName name="JUNA">#REF!</definedName>
    <definedName name="k" localSheetId="0">#REF!</definedName>
    <definedName name="k" localSheetId="3">#REF!</definedName>
    <definedName name="k">#REF!</definedName>
    <definedName name="km" localSheetId="3">#REF!</definedName>
    <definedName name="km">#REF!</definedName>
    <definedName name="kwh" localSheetId="3">#REF!</definedName>
    <definedName name="kwh">#REF!</definedName>
    <definedName name="last" localSheetId="3">[15]PGR!#REF!</definedName>
    <definedName name="last">[15]PGR!#REF!</definedName>
    <definedName name="lias">[0]!lias</definedName>
    <definedName name="Lider_Oper" localSheetId="3">#REF!</definedName>
    <definedName name="Lider_Oper">#REF!</definedName>
    <definedName name="ligação" localSheetId="3">[16]!PassaExtenso</definedName>
    <definedName name="ligação">[16]!PassaExtenso</definedName>
    <definedName name="LILASDRENA" localSheetId="3">#REF!</definedName>
    <definedName name="LILASDRENA">#REF!</definedName>
    <definedName name="LIMITADOR" localSheetId="3">#REF!</definedName>
    <definedName name="LIMITADOR">#REF!</definedName>
    <definedName name="LINE" localSheetId="3">#REF!</definedName>
    <definedName name="LINE">#REF!</definedName>
    <definedName name="lll">'[17]DESPESAS-CRONOGRAMA BASE'!$A$3:$AJ$25</definedName>
    <definedName name="LOCALOBRA" localSheetId="3">#REF!</definedName>
    <definedName name="LOCALOBRA">#REF!</definedName>
    <definedName name="Lote" localSheetId="3">#REF!</definedName>
    <definedName name="Lote">#REF!</definedName>
    <definedName name="lote2">[10]Plan!$I$50</definedName>
    <definedName name="LS">"S"</definedName>
    <definedName name="LUCRO" localSheetId="3">#REF!</definedName>
    <definedName name="LUCRO">#REF!</definedName>
    <definedName name="MAIA" localSheetId="3">#REF!</definedName>
    <definedName name="MAIA">#REF!</definedName>
    <definedName name="maior">'[18]LOTE 6'!$AE$10</definedName>
    <definedName name="mais" localSheetId="3">#REF!</definedName>
    <definedName name="mais">#REF!</definedName>
    <definedName name="mãodeobra" localSheetId="3">#REF!</definedName>
    <definedName name="mãodeobra">#REF!</definedName>
    <definedName name="MARA" localSheetId="3">#REF!</definedName>
    <definedName name="MARA">#REF!</definedName>
    <definedName name="material">[8]Material!$A$3:$F$230</definedName>
    <definedName name="Medição" localSheetId="3">#REF!</definedName>
    <definedName name="Medição">#REF!</definedName>
    <definedName name="menor">'[18]LOTE 6'!$AE$11</definedName>
    <definedName name="menos" localSheetId="3">#REF!</definedName>
    <definedName name="menos">#REF!</definedName>
    <definedName name="MG" localSheetId="3">#REF!</definedName>
    <definedName name="MG">#REF!</definedName>
    <definedName name="módulo1.Extenso">[0]!módulo1.Extenso</definedName>
    <definedName name="MOI" localSheetId="3">#REF!</definedName>
    <definedName name="MOI">#REF!</definedName>
    <definedName name="n">[0]!n</definedName>
    <definedName name="NLant">5</definedName>
    <definedName name="NLEq">4</definedName>
    <definedName name="NLmin">5</definedName>
    <definedName name="NLMo">6</definedName>
    <definedName name="NLMp">5</definedName>
    <definedName name="NLTr">3</definedName>
    <definedName name="Nome" localSheetId="3">#REF!</definedName>
    <definedName name="Nome">#REF!</definedName>
    <definedName name="NOMEOBRA" localSheetId="3">#REF!</definedName>
    <definedName name="NOMEOBRA">#REF!</definedName>
    <definedName name="NOVA" localSheetId="3">#REF!</definedName>
    <definedName name="NOVA">#REF!</definedName>
    <definedName name="NTEI" localSheetId="3">'[5]PRO-08'!#REF!</definedName>
    <definedName name="NTEI">'[5]PRO-08'!#REF!</definedName>
    <definedName name="NUMOBRA" localSheetId="3">#REF!</definedName>
    <definedName name="NUMOBRA">#REF!</definedName>
    <definedName name="o" localSheetId="3">#REF!</definedName>
    <definedName name="o">#REF!</definedName>
    <definedName name="Obra" localSheetId="3">#REF!</definedName>
    <definedName name="Obra">#REF!</definedName>
    <definedName name="OnOff">"ON"</definedName>
    <definedName name="OPA" localSheetId="3">'[5]PRO-08'!#REF!</definedName>
    <definedName name="OPA">'[5]PRO-08'!#REF!</definedName>
    <definedName name="Orcamen" localSheetId="3">#REF!</definedName>
    <definedName name="Orcamen">#REF!</definedName>
    <definedName name="OUTA" localSheetId="3">#REF!</definedName>
    <definedName name="OUTA">#REF!</definedName>
    <definedName name="p" localSheetId="3">#REF!</definedName>
    <definedName name="p">#REF!</definedName>
    <definedName name="pass">[0]!pass</definedName>
    <definedName name="PassaExtenso" localSheetId="3">[4]!PassaExtenso</definedName>
    <definedName name="PassaExtenso">[4]!PassaExtenso</definedName>
    <definedName name="pav" localSheetId="3">#REF!</definedName>
    <definedName name="pav">#REF!</definedName>
    <definedName name="pc" localSheetId="3">#REF!</definedName>
    <definedName name="pc">#REF!</definedName>
    <definedName name="pesquisa" localSheetId="3">#REF!</definedName>
    <definedName name="pesquisa">#REF!</definedName>
    <definedName name="pessoal" localSheetId="3">#REF!</definedName>
    <definedName name="pessoal">#REF!</definedName>
    <definedName name="Pintura" localSheetId="3">#REF!</definedName>
    <definedName name="Pintura">#REF!</definedName>
    <definedName name="pl" localSheetId="3">'[3]Resumo Financeiro'!#REF!</definedName>
    <definedName name="pl">'[3]Resumo Financeiro'!#REF!</definedName>
    <definedName name="PLACA">[19]CAPACIDADES!$A$8:$AL$136</definedName>
    <definedName name="placas">[0]!placas</definedName>
    <definedName name="PLAN_RATEIO" localSheetId="3">#REF!</definedName>
    <definedName name="PLAN_RATEIO">#REF!</definedName>
    <definedName name="Prazo" localSheetId="3">#REF!</definedName>
    <definedName name="Prazo">#REF!</definedName>
    <definedName name="PRAZO_EDITAL" localSheetId="3">#REF!</definedName>
    <definedName name="PRAZO_EDITAL">#REF!</definedName>
    <definedName name="PRAZO_ORC" localSheetId="3">#REF!</definedName>
    <definedName name="PRAZO_ORC">#REF!</definedName>
    <definedName name="preços">[20]PATO!$A$11:$J$36</definedName>
    <definedName name="Print_Area_MI" localSheetId="3">#REF!</definedName>
    <definedName name="Print_Area_MI">#REF!</definedName>
    <definedName name="PRINT_TITLES_MI" localSheetId="3">#REF!</definedName>
    <definedName name="PRINT_TITLES_MI">#REF!</definedName>
    <definedName name="q" localSheetId="3">#REF!</definedName>
    <definedName name="q">#REF!</definedName>
    <definedName name="QQ_2">[0]!QQ_2</definedName>
    <definedName name="QR" localSheetId="3">OFFSET(#REF!,1,,COUNTA(#REF!),7)</definedName>
    <definedName name="QR">OFFSET(#REF!,1,,COUNTA(#REF!),7)</definedName>
    <definedName name="QS" localSheetId="3">OFFSET(#REF!,1,,COUNTA(#REF!),6)</definedName>
    <definedName name="QS">OFFSET(#REF!,1,,COUNTA(#REF!),6)</definedName>
    <definedName name="Quali" localSheetId="3">#REF!</definedName>
    <definedName name="Quali">#REF!</definedName>
    <definedName name="RBV">[21]Teor!$C$3:$C$7</definedName>
    <definedName name="rcgp" localSheetId="3">'[3]Resumo Financeiro'!#REF!</definedName>
    <definedName name="rcgp">'[3]Resumo Financeiro'!#REF!</definedName>
    <definedName name="REC" localSheetId="3">OFFSET(#REF!,1,,COUNTA(#REF!),COUNTA(#REF!))</definedName>
    <definedName name="REC">OFFSET(#REF!,1,,COUNTA(#REF!),COUNTA(#REF!))</definedName>
    <definedName name="REG" localSheetId="3">#REF!</definedName>
    <definedName name="REG">#REF!</definedName>
    <definedName name="REGULA" localSheetId="3">#REF!</definedName>
    <definedName name="REGULA">#REF!</definedName>
    <definedName name="relatorio">[0]!relatorio</definedName>
    <definedName name="relequip" localSheetId="3">#REF!</definedName>
    <definedName name="relequip">#REF!</definedName>
    <definedName name="reparos" localSheetId="3">[16]!PassaExtenso</definedName>
    <definedName name="reparos">[16]!PassaExtenso</definedName>
    <definedName name="Reporting_Period" localSheetId="3">#REF!</definedName>
    <definedName name="Reporting_Period">#REF!</definedName>
    <definedName name="Res" localSheetId="3">#REF!</definedName>
    <definedName name="Res">#REF!</definedName>
    <definedName name="Res10Prog" localSheetId="3">#REF!</definedName>
    <definedName name="Res10Prog">#REF!</definedName>
    <definedName name="resumo" localSheetId="3">#REF!</definedName>
    <definedName name="resumo">#REF!</definedName>
    <definedName name="resumo2" localSheetId="3">#REF!</definedName>
    <definedName name="resumo2">#REF!</definedName>
    <definedName name="RMA" localSheetId="3">'[5]PRO-08'!#REF!</definedName>
    <definedName name="RMA">'[5]PRO-08'!#REF!</definedName>
    <definedName name="Rodo" localSheetId="3">#REF!</definedName>
    <definedName name="Rodo">#REF!</definedName>
    <definedName name="rodovia2">[10]Plan!$D$49</definedName>
    <definedName name="rodovia3">[10]Plan!$D$49</definedName>
    <definedName name="rp" localSheetId="3">'[3]Resumo Financeiro'!#REF!</definedName>
    <definedName name="rp">'[3]Resumo Financeiro'!#REF!</definedName>
    <definedName name="rraauf" localSheetId="3">'[3]Resumo Financeiro'!#REF!</definedName>
    <definedName name="rraauf">'[3]Resumo Financeiro'!#REF!</definedName>
    <definedName name="rraauq" localSheetId="3">'[3]Resumo Financeiro'!#REF!</definedName>
    <definedName name="rraauq">'[3]Resumo Financeiro'!#REF!</definedName>
    <definedName name="RS" localSheetId="3">#REF!</definedName>
    <definedName name="RS">#REF!</definedName>
    <definedName name="s" localSheetId="0">#REF!</definedName>
    <definedName name="s" localSheetId="3">#REF!</definedName>
    <definedName name="s">#REF!</definedName>
    <definedName name="Salario">1</definedName>
    <definedName name="Sb" localSheetId="3">#REF!</definedName>
    <definedName name="Sb">#REF!</definedName>
    <definedName name="sbg" localSheetId="3">#REF!</definedName>
    <definedName name="sbg">#REF!</definedName>
    <definedName name="SBTC" localSheetId="3">#REF!</definedName>
    <definedName name="SBTC">#REF!</definedName>
    <definedName name="segm" localSheetId="3">#REF!</definedName>
    <definedName name="segm">#REF!</definedName>
    <definedName name="servico">[8]dez00!$A$3:$F$134</definedName>
    <definedName name="SETA" localSheetId="3">#REF!</definedName>
    <definedName name="SETA">#REF!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6">#N/A</definedName>
    <definedName name="SHARED_FORMULA_7">#N/A</definedName>
    <definedName name="SHARED_FORMULA_8">#N/A</definedName>
    <definedName name="SHARED_FORMULA_9">#N/A</definedName>
    <definedName name="si" localSheetId="3">#REF!</definedName>
    <definedName name="si">#REF!</definedName>
    <definedName name="Sm" localSheetId="3">#REF!</definedName>
    <definedName name="Sm">#REF!</definedName>
    <definedName name="SR" localSheetId="3">OFFSET(#REF!,1,,COUNTA(#REF!),COUNTA(#REF!))</definedName>
    <definedName name="SR">OFFSET(#REF!,1,,COUNTA(#REF!),COUNTA(#REF!))</definedName>
    <definedName name="SSS" localSheetId="3">OFFSET('MEMÓRIA DE CÁLCULO'!_SR1,,4)</definedName>
    <definedName name="SSS">OFFSET(_SR1,,4)</definedName>
    <definedName name="sssa">[0]!sssa</definedName>
    <definedName name="subtr" localSheetId="3">#REF!</definedName>
    <definedName name="subtr">#REF!</definedName>
    <definedName name="SYOKI_GAMEN">[0]!SYOKI_GAMEN</definedName>
    <definedName name="t" localSheetId="3">#REF!</definedName>
    <definedName name="t">#REF!</definedName>
    <definedName name="TABELA">'[22]PLANILHA FONTE'!$B$1:$G$291</definedName>
    <definedName name="tb" localSheetId="3">'[3]Resumo Financeiro'!#REF!</definedName>
    <definedName name="tb">'[3]Resumo Financeiro'!#REF!</definedName>
    <definedName name="Teor">[21]Teor!$A$3:$A$7</definedName>
    <definedName name="teste" localSheetId="3">#REF!</definedName>
    <definedName name="teste">#REF!</definedName>
    <definedName name="TipoObra">2</definedName>
    <definedName name="TipoRel">"Valec-2010.xla"</definedName>
    <definedName name="_xlnm.Print_Titles" localSheetId="2">'BM DETALHADO'!$1:$12</definedName>
    <definedName name="_xlnm.Print_Titles" localSheetId="1">'BM GERAL'!$1:$10</definedName>
    <definedName name="_xlnm.Print_Titles" localSheetId="3">'MEMÓRIA DE CÁLCULO'!$1:$7</definedName>
    <definedName name="_xlnm.Print_Titles" localSheetId="4">'RELAT. FOTOG.'!$1:$7</definedName>
    <definedName name="TOP" localSheetId="3">#REF!</definedName>
    <definedName name="TOP">#REF!</definedName>
    <definedName name="TOT" localSheetId="3">OFFSET(SRV,,4)</definedName>
    <definedName name="TOT">OFFSET(SRV,,4)</definedName>
    <definedName name="TOTAL">[1]Erection!$I$253</definedName>
    <definedName name="TOTAL_RESUMO" localSheetId="3">#REF!</definedName>
    <definedName name="TOTAL_RESUMO">#REF!</definedName>
    <definedName name="TPM" localSheetId="3">#REF!</definedName>
    <definedName name="TPM">#REF!</definedName>
    <definedName name="trecho" localSheetId="3">#REF!</definedName>
    <definedName name="trecho">#REF!</definedName>
    <definedName name="trecho2">[10]Plan!$D$50</definedName>
    <definedName name="trecho3">[10]Plan!$D$50</definedName>
    <definedName name="UNI">'[23]PLANILHA CAMARÕES'!$A$10:$H$428</definedName>
    <definedName name="uuuuuty">[0]!uuuuuty</definedName>
    <definedName name="V_VENDA" localSheetId="3">#REF!</definedName>
    <definedName name="V_VENDA">#REF!</definedName>
    <definedName name="Vazios">[21]Teor!$B$3:$B$7</definedName>
    <definedName name="VENDA_ADOTADA" localSheetId="3">#REF!</definedName>
    <definedName name="VENDA_ADOTADA">#REF!</definedName>
    <definedName name="verde" localSheetId="3">#REF!</definedName>
    <definedName name="verde">#REF!</definedName>
    <definedName name="verdepav" localSheetId="3">#REF!</definedName>
    <definedName name="verdepav">#REF!</definedName>
    <definedName name="vfvr">[0]!vfvr</definedName>
    <definedName name="VOLUME" localSheetId="3">#REF!</definedName>
    <definedName name="VOLUME">#REF!</definedName>
    <definedName name="w">[0]!w</definedName>
    <definedName name="wer">[0]!wer</definedName>
    <definedName name="WEWRWR">[0]!WEWRWR</definedName>
    <definedName name="wrn" hidden="1">{#N/A,#N/A,FALSE,"ET-CAPA";#N/A,#N/A,FALSE,"ET-PAG1";#N/A,#N/A,FALSE,"ET-PAG2";#N/A,#N/A,FALSE,"ET-PAG3";#N/A,#N/A,FALSE,"ET-PAG4";#N/A,#N/A,FALSE,"ET-PAG5"}</definedName>
    <definedName name="wrn.ESTIMAT." hidden="1">{#N/A,#N/A,FALSE,"RA";#N/A,#N/A,FALSE,"APO";#N/A,#N/A,FALSE,"MOD";#N/A,#N/A,FALSE,"ESA";#N/A,#N/A,FALSE,"MOI";#N/A,#N/A,FALSE,"ALIM_TRANS";#N/A,#N/A,FALSE,"EQUIP.";#N/A,#N/A,FALSE,"EPI_FER.CONS";#N/A,#N/A,FALSE,"GAS_SOLDA_TINTA_AREIA";#N/A,#N/A,FALSE,"MAT.CONS";#N/A,#N/A,FALSE,"RES.SUB";#N/A,#N/A,FALSE,"CANT.";#N/A,#N/A,FALSE,"MAT.PERM";#N/A,#N/A,FALSE,"CUS.DIR";#N/A,#N/A,FALSE,"2.3";#N/A,#N/A,FALSE,"total";#N/A,#N/A,FALSE,"CUSTO";#N/A,#N/A,FALSE,"ORÇAM"}</definedName>
    <definedName name="wrn.GERAL." hidden="1">{#N/A,#N/A,FALSE,"ET-CAPA";#N/A,#N/A,FALSE,"ET-PAG1";#N/A,#N/A,FALSE,"ET-PAG2";#N/A,#N/A,FALSE,"ET-PAG3";#N/A,#N/A,FALSE,"ET-PAG4";#N/A,#N/A,FALSE,"ET-PAG5"}</definedName>
    <definedName name="x" localSheetId="3">[21]Equipamentos!#REF!</definedName>
    <definedName name="x">[21]Equipamentos!#REF!</definedName>
    <definedName name="XX" localSheetId="3">#REF!</definedName>
    <definedName name="XX">#REF!</definedName>
    <definedName name="XXX">[0]!XXX</definedName>
    <definedName name="zz">[0]!zz</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86" i="83" l="1"/>
  <c r="G1378" i="83"/>
  <c r="G1376" i="83"/>
  <c r="G1375" i="83"/>
  <c r="G1374" i="83"/>
  <c r="K1794" i="83"/>
  <c r="K1771" i="83"/>
  <c r="G1552" i="83"/>
  <c r="G1574" i="83"/>
  <c r="G1573" i="83"/>
  <c r="F1573" i="83"/>
  <c r="G1570" i="83"/>
  <c r="G1571" i="83"/>
  <c r="G1572" i="83"/>
  <c r="F1572" i="83"/>
  <c r="F1571" i="83"/>
  <c r="F1570" i="83"/>
  <c r="H1574" i="83" l="1"/>
  <c r="H1573" i="83"/>
  <c r="H1572" i="83"/>
  <c r="H1571" i="83"/>
  <c r="H1570" i="83"/>
  <c r="H1575" i="83" l="1"/>
  <c r="H1553" i="83"/>
  <c r="I1553" i="83" s="1"/>
  <c r="H1552" i="83"/>
  <c r="I1552" i="83" s="1"/>
  <c r="H1551" i="83"/>
  <c r="I1551" i="83" s="1"/>
  <c r="H1550" i="83"/>
  <c r="I1550" i="83" s="1"/>
  <c r="H1549" i="83"/>
  <c r="N1460" i="83"/>
  <c r="K1494" i="83"/>
  <c r="K1473" i="83"/>
  <c r="H1554" i="83" l="1"/>
  <c r="I1549" i="83"/>
  <c r="I1554" i="83" s="1"/>
  <c r="O1545" i="83" s="1"/>
  <c r="L1430" i="83"/>
  <c r="L1408" i="83"/>
  <c r="M1249" i="83"/>
  <c r="M1248" i="83"/>
  <c r="M1247" i="83"/>
  <c r="M1246" i="83"/>
  <c r="M1245" i="83"/>
  <c r="M1206" i="83"/>
  <c r="M1205" i="83"/>
  <c r="M1204" i="83"/>
  <c r="M1203" i="83"/>
  <c r="M1202" i="83"/>
  <c r="I912" i="83"/>
  <c r="I911" i="83"/>
  <c r="F804" i="83"/>
  <c r="O801" i="83" s="1"/>
  <c r="J687" i="83" s="1"/>
  <c r="L713" i="83"/>
  <c r="F713" i="83"/>
  <c r="L709" i="83"/>
  <c r="F709" i="83"/>
  <c r="O681" i="83"/>
  <c r="E432" i="83"/>
  <c r="E431" i="83"/>
  <c r="E430" i="83"/>
  <c r="E429" i="83"/>
  <c r="E428" i="83"/>
  <c r="I913" i="83" l="1"/>
  <c r="J715" i="83"/>
  <c r="O705" i="83" s="1"/>
  <c r="I8" i="84"/>
  <c r="I1511" i="83" l="1"/>
  <c r="I1510" i="83"/>
  <c r="I1508" i="83"/>
  <c r="I1507" i="83"/>
  <c r="I1506" i="83"/>
  <c r="I1505" i="83"/>
  <c r="I1504" i="83"/>
  <c r="I1503" i="83"/>
  <c r="H1486" i="83"/>
  <c r="H1485" i="83"/>
  <c r="H1484" i="83"/>
  <c r="H1483" i="83"/>
  <c r="H1482" i="83"/>
  <c r="G1464" i="83"/>
  <c r="G1460" i="83"/>
  <c r="I1440" i="83"/>
  <c r="K1440" i="83" s="1"/>
  <c r="I1441" i="83"/>
  <c r="K1441" i="83" s="1"/>
  <c r="I1442" i="83"/>
  <c r="K1442" i="83" s="1"/>
  <c r="I1443" i="83"/>
  <c r="K1443" i="83" s="1"/>
  <c r="I1439" i="83"/>
  <c r="K1439" i="83" s="1"/>
  <c r="I1512" i="83" l="1"/>
  <c r="K1466" i="83"/>
  <c r="O1456" i="83" s="1"/>
  <c r="H1487" i="83"/>
  <c r="O1479" i="83" s="1"/>
  <c r="K1495" i="83" s="1"/>
  <c r="K1444" i="83"/>
  <c r="K1445" i="83" s="1"/>
  <c r="K1270" i="83"/>
  <c r="M1270" i="83" s="1"/>
  <c r="O1266" i="83" s="1"/>
  <c r="H1246" i="83"/>
  <c r="H1247" i="83"/>
  <c r="H1248" i="83"/>
  <c r="H1249" i="83"/>
  <c r="H1245" i="83"/>
  <c r="N1249" i="83"/>
  <c r="N1248" i="83"/>
  <c r="N1247" i="83"/>
  <c r="N1246" i="83"/>
  <c r="N1245" i="83"/>
  <c r="M1229" i="83"/>
  <c r="G1229" i="83"/>
  <c r="M1228" i="83"/>
  <c r="G1228" i="83"/>
  <c r="M1227" i="83"/>
  <c r="G1227" i="83"/>
  <c r="M1226" i="83"/>
  <c r="G1226" i="83"/>
  <c r="M1225" i="83"/>
  <c r="G1225" i="83"/>
  <c r="N1206" i="83"/>
  <c r="N1205" i="83"/>
  <c r="N1204" i="83"/>
  <c r="N1203" i="83"/>
  <c r="N1202" i="83"/>
  <c r="H1206" i="83"/>
  <c r="H1205" i="83"/>
  <c r="H1204" i="83"/>
  <c r="H1203" i="83"/>
  <c r="H1202" i="83"/>
  <c r="H1182" i="83"/>
  <c r="H1181" i="83"/>
  <c r="H1180" i="83"/>
  <c r="H1179" i="83"/>
  <c r="H1178" i="83"/>
  <c r="J1158" i="83"/>
  <c r="J1159" i="83"/>
  <c r="J1160" i="83"/>
  <c r="J1161" i="83"/>
  <c r="K1161" i="83"/>
  <c r="K1160" i="83"/>
  <c r="K1159" i="83"/>
  <c r="K1158" i="83"/>
  <c r="K1157" i="83"/>
  <c r="H1140" i="83"/>
  <c r="H1139" i="83"/>
  <c r="H1138" i="83"/>
  <c r="H1137" i="83"/>
  <c r="H1136" i="83"/>
  <c r="K1053" i="83"/>
  <c r="K1054" i="83" s="1"/>
  <c r="K1037" i="83"/>
  <c r="K1038" i="83" s="1"/>
  <c r="F857" i="83"/>
  <c r="K686" i="83"/>
  <c r="I840" i="83"/>
  <c r="I839" i="83"/>
  <c r="I838" i="83"/>
  <c r="I837" i="83"/>
  <c r="I836" i="83"/>
  <c r="I730" i="83"/>
  <c r="I729" i="83"/>
  <c r="I728" i="83"/>
  <c r="I727" i="83"/>
  <c r="I726" i="83"/>
  <c r="I1418" i="83"/>
  <c r="I1419" i="83"/>
  <c r="I1420" i="83"/>
  <c r="I1421" i="83"/>
  <c r="I1417" i="83"/>
  <c r="K1395" i="83"/>
  <c r="I1374" i="83"/>
  <c r="J526" i="83"/>
  <c r="E526" i="83"/>
  <c r="O521" i="83"/>
  <c r="J521" i="83"/>
  <c r="E521" i="83"/>
  <c r="G432" i="83"/>
  <c r="G431" i="83"/>
  <c r="G430" i="83"/>
  <c r="G429" i="83"/>
  <c r="G428" i="83"/>
  <c r="K1816" i="83"/>
  <c r="K1668" i="83"/>
  <c r="K1518" i="83"/>
  <c r="K1450" i="83"/>
  <c r="K1365" i="83"/>
  <c r="K1323" i="83"/>
  <c r="K1302" i="83"/>
  <c r="K1260" i="83"/>
  <c r="K1235" i="83"/>
  <c r="K1215" i="83"/>
  <c r="K1169" i="83"/>
  <c r="K1148" i="83"/>
  <c r="H1251" i="83" l="1"/>
  <c r="N1251" i="83"/>
  <c r="I842" i="83"/>
  <c r="O833" i="83" s="1"/>
  <c r="I732" i="83"/>
  <c r="O723" i="83" s="1"/>
  <c r="G434" i="83"/>
  <c r="M1160" i="83"/>
  <c r="M1158" i="83"/>
  <c r="M1159" i="83"/>
  <c r="G1231" i="83"/>
  <c r="H1208" i="83"/>
  <c r="M1161" i="83"/>
  <c r="M1231" i="83"/>
  <c r="N1208" i="83"/>
  <c r="H1184" i="83"/>
  <c r="O1175" i="83" s="1"/>
  <c r="H1142" i="83"/>
  <c r="I1425" i="83"/>
  <c r="L528" i="83"/>
  <c r="O516" i="83" s="1"/>
  <c r="K1127" i="83"/>
  <c r="K1107" i="83"/>
  <c r="K1086" i="83"/>
  <c r="K1007" i="83"/>
  <c r="K986" i="83"/>
  <c r="K965" i="83"/>
  <c r="K941" i="83"/>
  <c r="K926" i="83"/>
  <c r="K902" i="83"/>
  <c r="K880" i="83"/>
  <c r="K859" i="83"/>
  <c r="K827" i="83"/>
  <c r="K795" i="83"/>
  <c r="K774" i="83"/>
  <c r="K675" i="83"/>
  <c r="K650" i="83"/>
  <c r="K641" i="83"/>
  <c r="K623" i="83"/>
  <c r="K605" i="83"/>
  <c r="K584" i="83"/>
  <c r="K565" i="83"/>
  <c r="K543" i="83"/>
  <c r="K508" i="83"/>
  <c r="K475" i="83"/>
  <c r="K464" i="83"/>
  <c r="K451" i="83"/>
  <c r="K452" i="83" s="1"/>
  <c r="K453" i="83"/>
  <c r="K398" i="83"/>
  <c r="K397" i="83"/>
  <c r="K356" i="83"/>
  <c r="K355" i="83"/>
  <c r="K244" i="83"/>
  <c r="K223" i="83"/>
  <c r="K202" i="83"/>
  <c r="K181" i="83"/>
  <c r="K160" i="83"/>
  <c r="K139" i="83"/>
  <c r="K118" i="83"/>
  <c r="K97" i="83"/>
  <c r="K76" i="83"/>
  <c r="K55" i="83"/>
  <c r="K34" i="83"/>
  <c r="K13" i="83"/>
  <c r="J1210" i="83" l="1"/>
  <c r="J1253" i="83"/>
  <c r="J1233" i="83"/>
  <c r="O1221" i="83" s="1"/>
  <c r="K357" i="83"/>
  <c r="K454" i="83"/>
  <c r="K399" i="83"/>
  <c r="J94" i="1" l="1"/>
  <c r="J38" i="1"/>
  <c r="J32" i="1"/>
  <c r="J14" i="1"/>
  <c r="K1397" i="83"/>
  <c r="K1396" i="83"/>
  <c r="K775" i="83"/>
  <c r="K1401" i="83"/>
  <c r="K1400" i="83"/>
  <c r="K1399" i="83"/>
  <c r="K1398" i="83"/>
  <c r="K829" i="83"/>
  <c r="K828" i="83"/>
  <c r="K808" i="83"/>
  <c r="K807" i="83"/>
  <c r="K797" i="83"/>
  <c r="K796" i="83"/>
  <c r="K776" i="83"/>
  <c r="I1804" i="83"/>
  <c r="J1804" i="83" s="1"/>
  <c r="I1803" i="83"/>
  <c r="J1803" i="83" s="1"/>
  <c r="J1805" i="83" l="1"/>
  <c r="L1805" i="83" s="1"/>
  <c r="K1403" i="83"/>
  <c r="I1805" i="83"/>
  <c r="K809" i="83"/>
  <c r="K830" i="83"/>
  <c r="K798" i="83"/>
  <c r="K777" i="83"/>
  <c r="I1375" i="83" l="1"/>
  <c r="I1376" i="83"/>
  <c r="I1377" i="83"/>
  <c r="I1378" i="83"/>
  <c r="H23" i="83"/>
  <c r="K35" i="83" s="1"/>
  <c r="K246" i="83"/>
  <c r="K225" i="83"/>
  <c r="K224" i="83"/>
  <c r="K204" i="83"/>
  <c r="K203" i="83"/>
  <c r="K183" i="83"/>
  <c r="K182" i="83"/>
  <c r="K162" i="83"/>
  <c r="K161" i="83"/>
  <c r="K141" i="83"/>
  <c r="K140" i="83"/>
  <c r="K120" i="83"/>
  <c r="K119" i="83"/>
  <c r="K99" i="83"/>
  <c r="K98" i="83"/>
  <c r="K78" i="83"/>
  <c r="K57" i="83"/>
  <c r="K36" i="83"/>
  <c r="K15" i="83"/>
  <c r="K14" i="83"/>
  <c r="D1266" i="83"/>
  <c r="N1266" i="83"/>
  <c r="B1281" i="83"/>
  <c r="K1282" i="83"/>
  <c r="J1157" i="83"/>
  <c r="M1157" i="83" s="1"/>
  <c r="M1162" i="83" s="1"/>
  <c r="K943" i="83"/>
  <c r="K942" i="83"/>
  <c r="K904" i="83"/>
  <c r="K903" i="83"/>
  <c r="K882" i="83"/>
  <c r="K881" i="83"/>
  <c r="D865" i="83"/>
  <c r="I1379" i="83" l="1"/>
  <c r="O1371" i="83" s="1"/>
  <c r="K205" i="83"/>
  <c r="K142" i="83"/>
  <c r="K16" i="83"/>
  <c r="K226" i="83"/>
  <c r="K184" i="83"/>
  <c r="K163" i="83"/>
  <c r="K121" i="83"/>
  <c r="K100" i="83"/>
  <c r="K37" i="83"/>
  <c r="K944" i="83"/>
  <c r="K905" i="83"/>
  <c r="K883" i="83"/>
  <c r="D932" i="83" l="1"/>
  <c r="N932" i="83"/>
  <c r="B942" i="83"/>
  <c r="I1781" i="83"/>
  <c r="J1781" i="83" s="1"/>
  <c r="I1761" i="83"/>
  <c r="J1761" i="83" s="1"/>
  <c r="K1261" i="83" l="1"/>
  <c r="K1216" i="83"/>
  <c r="K1474" i="83" l="1"/>
  <c r="K928" i="83" l="1"/>
  <c r="K927" i="83" l="1"/>
  <c r="K929" i="83" l="1"/>
  <c r="K755" i="83" l="1"/>
  <c r="D657" i="83" l="1"/>
  <c r="K860" i="83" l="1"/>
  <c r="K509" i="83" l="1"/>
  <c r="K510" i="83"/>
  <c r="K488" i="83"/>
  <c r="K511" i="83" l="1"/>
  <c r="D4" i="84"/>
  <c r="N4" i="84"/>
  <c r="M5" i="84"/>
  <c r="H5" i="84"/>
  <c r="D5" i="84"/>
  <c r="L1409" i="83" l="1"/>
  <c r="K1236" i="83" l="1"/>
  <c r="K1922" i="83" l="1"/>
  <c r="K1899" i="83"/>
  <c r="K1900" i="83" s="1"/>
  <c r="K1901" i="83"/>
  <c r="K1878" i="83"/>
  <c r="K1879" i="83" s="1"/>
  <c r="K1880" i="83"/>
  <c r="K1838" i="83"/>
  <c r="K1837" i="83"/>
  <c r="K1817" i="83"/>
  <c r="K1796" i="83"/>
  <c r="K1773" i="83"/>
  <c r="K1754" i="83"/>
  <c r="K1753" i="83"/>
  <c r="K1733" i="83"/>
  <c r="K1732" i="83"/>
  <c r="K1712" i="83"/>
  <c r="K1711" i="83"/>
  <c r="K1691" i="83"/>
  <c r="K1690" i="83"/>
  <c r="K1670" i="83"/>
  <c r="K1669" i="83"/>
  <c r="K1647" i="83"/>
  <c r="K1649" i="83"/>
  <c r="K1628" i="83"/>
  <c r="K1627" i="83"/>
  <c r="K1607" i="83"/>
  <c r="K1606" i="83"/>
  <c r="K1586" i="83"/>
  <c r="K1585" i="83"/>
  <c r="K1562" i="83"/>
  <c r="K1561" i="83"/>
  <c r="K1541" i="83"/>
  <c r="K1540" i="83"/>
  <c r="K1520" i="83"/>
  <c r="K1496" i="83"/>
  <c r="K1475" i="83"/>
  <c r="K1452" i="83"/>
  <c r="L1432" i="83"/>
  <c r="L1410" i="83"/>
  <c r="K1388" i="83"/>
  <c r="K1366" i="83"/>
  <c r="K1367" i="83"/>
  <c r="K1325" i="83"/>
  <c r="K1324" i="83"/>
  <c r="K1304" i="83"/>
  <c r="K1303" i="83"/>
  <c r="K1217" i="83"/>
  <c r="K1129" i="83"/>
  <c r="K1128" i="83"/>
  <c r="K1108" i="83"/>
  <c r="K1109" i="83"/>
  <c r="K1088" i="83"/>
  <c r="K1067" i="83"/>
  <c r="K1046" i="83"/>
  <c r="K1030" i="83"/>
  <c r="K1029" i="83"/>
  <c r="K1009" i="83"/>
  <c r="K1008" i="83"/>
  <c r="K988" i="83"/>
  <c r="K987" i="83"/>
  <c r="K967" i="83"/>
  <c r="K966" i="83"/>
  <c r="K1387" i="83" l="1"/>
  <c r="K1629" i="83"/>
  <c r="K1902" i="83"/>
  <c r="K1881" i="83"/>
  <c r="K1839" i="83"/>
  <c r="K1587" i="83"/>
  <c r="L1431" i="83"/>
  <c r="K1755" i="83"/>
  <c r="K1713" i="83"/>
  <c r="K1734" i="83"/>
  <c r="K1692" i="83"/>
  <c r="K1671" i="83"/>
  <c r="K1608" i="83"/>
  <c r="K1563" i="83"/>
  <c r="K1542" i="83"/>
  <c r="L1411" i="83"/>
  <c r="K1368" i="83"/>
  <c r="K1326" i="83"/>
  <c r="K1305" i="83"/>
  <c r="K1130" i="83"/>
  <c r="K1110" i="83"/>
  <c r="K1031" i="83"/>
  <c r="K1010" i="83"/>
  <c r="K989" i="83"/>
  <c r="K861" i="83"/>
  <c r="K846" i="83"/>
  <c r="K746" i="83"/>
  <c r="K719" i="83"/>
  <c r="K700" i="83"/>
  <c r="K677" i="83"/>
  <c r="K652" i="83"/>
  <c r="K643" i="83"/>
  <c r="K533" i="83"/>
  <c r="K1451" i="83" l="1"/>
  <c r="L1433" i="83"/>
  <c r="K642" i="83"/>
  <c r="K1262" i="83"/>
  <c r="K1237" i="83"/>
  <c r="K1194" i="83"/>
  <c r="B1128" i="83"/>
  <c r="K1171" i="83"/>
  <c r="K1150" i="83"/>
  <c r="K1238" i="83" l="1"/>
  <c r="J684" i="83" l="1"/>
  <c r="J688" i="83" s="1"/>
  <c r="K1263" i="83"/>
  <c r="K1149" i="83"/>
  <c r="K1218" i="83"/>
  <c r="K442" i="83"/>
  <c r="K1151" i="83" l="1"/>
  <c r="K420" i="83"/>
  <c r="K377" i="83"/>
  <c r="G364" i="83"/>
  <c r="K372" i="83" s="1"/>
  <c r="K335" i="83"/>
  <c r="G319" i="83"/>
  <c r="K311" i="83"/>
  <c r="K303" i="83"/>
  <c r="G298" i="83"/>
  <c r="K290" i="83"/>
  <c r="K267" i="83"/>
  <c r="G276" i="83"/>
  <c r="M260" i="83"/>
  <c r="M263" i="83" s="1"/>
  <c r="O250" i="83" s="1"/>
  <c r="F260" i="83"/>
  <c r="F255" i="83"/>
  <c r="K306" i="83" l="1"/>
  <c r="K307" i="83"/>
  <c r="K327" i="83"/>
  <c r="K328" i="83"/>
  <c r="K284" i="83"/>
  <c r="K285" i="83"/>
  <c r="K301" i="83"/>
  <c r="K305" i="83"/>
  <c r="K321" i="83"/>
  <c r="K326" i="83"/>
  <c r="K278" i="83"/>
  <c r="K283" i="83"/>
  <c r="K282" i="83"/>
  <c r="F261" i="83"/>
  <c r="F262" i="83" s="1"/>
  <c r="K304" i="83"/>
  <c r="K373" i="83"/>
  <c r="K325" i="83"/>
  <c r="K367" i="83"/>
  <c r="K368" i="83"/>
  <c r="K370" i="83"/>
  <c r="K322" i="83"/>
  <c r="K300" i="83"/>
  <c r="K279" i="83"/>
  <c r="K369" i="83" l="1"/>
  <c r="K371" i="83" s="1"/>
  <c r="K1476" i="83" l="1"/>
  <c r="K1648" i="83"/>
  <c r="K1650" i="83" s="1"/>
  <c r="K1519" i="83"/>
  <c r="K1521" i="83" s="1"/>
  <c r="K1497" i="83"/>
  <c r="K1087" i="83"/>
  <c r="K1089" i="83" s="1"/>
  <c r="K1453" i="83" l="1"/>
  <c r="K1389" i="83"/>
  <c r="K968" i="83"/>
  <c r="L32" i="1"/>
  <c r="L14" i="1"/>
  <c r="L38" i="1"/>
  <c r="L94" i="1"/>
  <c r="H46" i="1"/>
  <c r="J46" i="1" s="1"/>
  <c r="K582" i="83" s="1"/>
  <c r="H47" i="1"/>
  <c r="J47" i="1" s="1"/>
  <c r="K603" i="83" s="1"/>
  <c r="H48" i="1"/>
  <c r="H45" i="1"/>
  <c r="H44" i="1"/>
  <c r="J44" i="1" s="1"/>
  <c r="K541" i="83" s="1"/>
  <c r="N610" i="83"/>
  <c r="N588" i="83"/>
  <c r="N569" i="83"/>
  <c r="N547" i="83"/>
  <c r="N537" i="83"/>
  <c r="D610" i="83"/>
  <c r="D588" i="83"/>
  <c r="D569" i="83"/>
  <c r="D547" i="83"/>
  <c r="D537" i="83"/>
  <c r="H39" i="1"/>
  <c r="J39" i="1" s="1"/>
  <c r="K462" i="83" s="1"/>
  <c r="K542" i="83" l="1"/>
  <c r="K544" i="83" s="1"/>
  <c r="K463" i="83"/>
  <c r="K465" i="83" s="1"/>
  <c r="J45" i="1"/>
  <c r="N45" i="1" s="1"/>
  <c r="J48" i="1"/>
  <c r="I45" i="1"/>
  <c r="I44" i="1"/>
  <c r="L44" i="1"/>
  <c r="I46" i="1"/>
  <c r="L46" i="1"/>
  <c r="I47" i="1"/>
  <c r="K47" i="1"/>
  <c r="L39" i="1"/>
  <c r="I48" i="1"/>
  <c r="L48" i="1" l="1"/>
  <c r="M48" i="1" s="1"/>
  <c r="K621" i="83"/>
  <c r="K622" i="83" s="1"/>
  <c r="K624" i="83" s="1"/>
  <c r="K45" i="1"/>
  <c r="K563" i="83"/>
  <c r="N48" i="1"/>
  <c r="K48" i="1"/>
  <c r="L45" i="1"/>
  <c r="M45" i="1" s="1"/>
  <c r="K46" i="1"/>
  <c r="N47" i="1"/>
  <c r="L47" i="1"/>
  <c r="M47" i="1" s="1"/>
  <c r="M46" i="1"/>
  <c r="N46" i="1"/>
  <c r="M44" i="1"/>
  <c r="N44" i="1"/>
  <c r="K44" i="1"/>
  <c r="G45" i="1" l="1"/>
  <c r="G46" i="1"/>
  <c r="G47" i="1"/>
  <c r="G48" i="1"/>
  <c r="G44" i="1"/>
  <c r="M6" i="1" s="1"/>
  <c r="H104" i="1" l="1"/>
  <c r="J104" i="1" s="1"/>
  <c r="L104" i="1" l="1"/>
  <c r="K644" i="83"/>
  <c r="I14" i="1"/>
  <c r="H25" i="1"/>
  <c r="L25" i="1" l="1"/>
  <c r="H86" i="1"/>
  <c r="J86" i="1" s="1"/>
  <c r="L86" i="1" l="1"/>
  <c r="H102" i="1"/>
  <c r="J102" i="1" s="1"/>
  <c r="I405" i="83"/>
  <c r="I1780" i="83"/>
  <c r="J1780" i="83" s="1"/>
  <c r="I1782" i="83" l="1"/>
  <c r="J1782" i="83"/>
  <c r="L1782" i="83" s="1"/>
  <c r="L102" i="1"/>
  <c r="K651" i="83"/>
  <c r="K653" i="83" l="1"/>
  <c r="H69" i="1"/>
  <c r="J69" i="1" s="1"/>
  <c r="L69" i="1" l="1"/>
  <c r="H56" i="1"/>
  <c r="J56" i="1" s="1"/>
  <c r="L56" i="1" l="1"/>
  <c r="K14" i="1"/>
  <c r="G43" i="1" l="1"/>
  <c r="H20" i="1" l="1"/>
  <c r="J20" i="1" s="1"/>
  <c r="H21" i="1"/>
  <c r="L20" i="1" l="1"/>
  <c r="H19" i="1"/>
  <c r="J19" i="1" s="1"/>
  <c r="H16" i="1"/>
  <c r="J16" i="1" s="1"/>
  <c r="L16" i="1" l="1"/>
  <c r="L19" i="1"/>
  <c r="K1170" i="83"/>
  <c r="K1172" i="83" l="1"/>
  <c r="H40" i="1"/>
  <c r="J40" i="1" s="1"/>
  <c r="K473" i="83" s="1"/>
  <c r="H34" i="1"/>
  <c r="J34" i="1" s="1"/>
  <c r="K474" i="83" l="1"/>
  <c r="K476" i="83" s="1"/>
  <c r="L40" i="1"/>
  <c r="L34" i="1"/>
  <c r="H54" i="1"/>
  <c r="J54" i="1" s="1"/>
  <c r="H51" i="1"/>
  <c r="J51" i="1" s="1"/>
  <c r="K676" i="83" l="1"/>
  <c r="L54" i="1"/>
  <c r="L51" i="1"/>
  <c r="H64" i="1"/>
  <c r="J64" i="1" s="1"/>
  <c r="K583" i="83" s="1"/>
  <c r="K585" i="83" s="1"/>
  <c r="K862" i="83"/>
  <c r="K245" i="83"/>
  <c r="K247" i="83" s="1"/>
  <c r="K56" i="83"/>
  <c r="K58" i="83" s="1"/>
  <c r="H18" i="1" l="1"/>
  <c r="K77" i="83"/>
  <c r="K79" i="83" s="1"/>
  <c r="K678" i="83"/>
  <c r="L64" i="1"/>
  <c r="K51" i="1"/>
  <c r="J18" i="1" l="1"/>
  <c r="L18" i="1" s="1"/>
  <c r="H95" i="1"/>
  <c r="J95" i="1" s="1"/>
  <c r="L95" i="1" l="1"/>
  <c r="K1795" i="83" l="1"/>
  <c r="N1286" i="83"/>
  <c r="D1286" i="83"/>
  <c r="I1762" i="83"/>
  <c r="J1762" i="83" s="1"/>
  <c r="J1764" i="83" s="1"/>
  <c r="L1764" i="83" s="1"/>
  <c r="M405" i="83"/>
  <c r="B1837" i="83"/>
  <c r="B1858" i="83"/>
  <c r="B1879" i="83"/>
  <c r="H17" i="1"/>
  <c r="J17" i="1" s="1"/>
  <c r="H22" i="1"/>
  <c r="H23" i="1"/>
  <c r="H24" i="1"/>
  <c r="H26" i="1"/>
  <c r="J26" i="1" s="1"/>
  <c r="H28" i="1"/>
  <c r="J28" i="1" s="1"/>
  <c r="H29" i="1"/>
  <c r="J29" i="1" s="1"/>
  <c r="H30" i="1"/>
  <c r="J30" i="1" s="1"/>
  <c r="H31" i="1"/>
  <c r="J31" i="1" s="1"/>
  <c r="H33" i="1"/>
  <c r="J33" i="1" s="1"/>
  <c r="H37" i="1"/>
  <c r="J37" i="1" s="1"/>
  <c r="H41" i="1"/>
  <c r="J41" i="1" s="1"/>
  <c r="H50" i="1"/>
  <c r="J50" i="1" s="1"/>
  <c r="H52" i="1"/>
  <c r="J52" i="1" s="1"/>
  <c r="H55" i="1"/>
  <c r="J55" i="1" s="1"/>
  <c r="H57" i="1"/>
  <c r="J57" i="1" s="1"/>
  <c r="H58" i="1"/>
  <c r="J58" i="1" s="1"/>
  <c r="H59" i="1"/>
  <c r="H60" i="1"/>
  <c r="H61" i="1"/>
  <c r="J61" i="1" s="1"/>
  <c r="H62" i="1"/>
  <c r="J62" i="1" s="1"/>
  <c r="H66" i="1"/>
  <c r="J66" i="1" s="1"/>
  <c r="K564" i="83" s="1"/>
  <c r="K566" i="83" s="1"/>
  <c r="H67" i="1"/>
  <c r="J67" i="1" s="1"/>
  <c r="K604" i="83" s="1"/>
  <c r="K606" i="83" s="1"/>
  <c r="H68" i="1"/>
  <c r="J68" i="1" s="1"/>
  <c r="H70" i="1"/>
  <c r="J70" i="1" s="1"/>
  <c r="H71" i="1"/>
  <c r="H72" i="1"/>
  <c r="H73" i="1"/>
  <c r="H75" i="1"/>
  <c r="J75" i="1" s="1"/>
  <c r="H76" i="1"/>
  <c r="J76" i="1" s="1"/>
  <c r="H77" i="1"/>
  <c r="J77" i="1" s="1"/>
  <c r="H78" i="1"/>
  <c r="H79" i="1"/>
  <c r="J79" i="1" s="1"/>
  <c r="H82" i="1"/>
  <c r="J82" i="1" s="1"/>
  <c r="H84" i="1"/>
  <c r="J84" i="1" s="1"/>
  <c r="H88" i="1"/>
  <c r="J88" i="1" s="1"/>
  <c r="H90" i="1"/>
  <c r="J90" i="1" s="1"/>
  <c r="H92" i="1"/>
  <c r="J92" i="1" s="1"/>
  <c r="H93" i="1"/>
  <c r="J93" i="1" s="1"/>
  <c r="H97" i="1"/>
  <c r="J97" i="1" s="1"/>
  <c r="H98" i="1"/>
  <c r="J98" i="1" s="1"/>
  <c r="H99" i="1"/>
  <c r="J99" i="1" s="1"/>
  <c r="H100" i="1"/>
  <c r="J100" i="1" s="1"/>
  <c r="H101" i="1"/>
  <c r="J101" i="1" s="1"/>
  <c r="H103" i="1"/>
  <c r="J103" i="1" s="1"/>
  <c r="H105" i="1"/>
  <c r="H107" i="1"/>
  <c r="H108" i="1"/>
  <c r="H109" i="1"/>
  <c r="H110" i="1"/>
  <c r="H112" i="1"/>
  <c r="J112" i="1" s="1"/>
  <c r="H113" i="1"/>
  <c r="J113" i="1" s="1"/>
  <c r="H114" i="1"/>
  <c r="H115" i="1"/>
  <c r="H116" i="1"/>
  <c r="H117" i="1"/>
  <c r="H120" i="1"/>
  <c r="J120" i="1" s="1"/>
  <c r="H121" i="1"/>
  <c r="J121" i="1" s="1"/>
  <c r="H122" i="1"/>
  <c r="H123" i="1"/>
  <c r="J123" i="1" s="1"/>
  <c r="H124" i="1"/>
  <c r="J124" i="1" s="1"/>
  <c r="I1764" i="83" l="1"/>
  <c r="H417" i="83"/>
  <c r="L121" i="1"/>
  <c r="K1797" i="83"/>
  <c r="L114" i="1"/>
  <c r="L103" i="1"/>
  <c r="L90" i="1"/>
  <c r="L75" i="1"/>
  <c r="L62" i="1"/>
  <c r="L50" i="1"/>
  <c r="L26" i="1"/>
  <c r="L113" i="1"/>
  <c r="L101" i="1"/>
  <c r="L88" i="1"/>
  <c r="L73" i="1"/>
  <c r="L61" i="1"/>
  <c r="L24" i="1"/>
  <c r="L112" i="1"/>
  <c r="L100" i="1"/>
  <c r="L84" i="1"/>
  <c r="L72" i="1"/>
  <c r="L60" i="1"/>
  <c r="L37" i="1"/>
  <c r="L23" i="1"/>
  <c r="L110" i="1"/>
  <c r="L99" i="1"/>
  <c r="L82" i="1"/>
  <c r="L71" i="1"/>
  <c r="L59" i="1"/>
  <c r="L33" i="1"/>
  <c r="L120" i="1"/>
  <c r="L109" i="1"/>
  <c r="L98" i="1"/>
  <c r="L79" i="1"/>
  <c r="L70" i="1"/>
  <c r="L58" i="1"/>
  <c r="L31" i="1"/>
  <c r="L17" i="1"/>
  <c r="L117" i="1"/>
  <c r="L108" i="1"/>
  <c r="L97" i="1"/>
  <c r="L78" i="1"/>
  <c r="L68" i="1"/>
  <c r="L57" i="1"/>
  <c r="L30" i="1"/>
  <c r="L116" i="1"/>
  <c r="L107" i="1"/>
  <c r="L93" i="1"/>
  <c r="L77" i="1"/>
  <c r="L67" i="1"/>
  <c r="L29" i="1"/>
  <c r="L115" i="1"/>
  <c r="L105" i="1"/>
  <c r="L92" i="1"/>
  <c r="L76" i="1"/>
  <c r="L66" i="1"/>
  <c r="L28" i="1"/>
  <c r="L55" i="1"/>
  <c r="L52" i="1"/>
  <c r="L41" i="1"/>
  <c r="L22" i="1"/>
  <c r="I102" i="1"/>
  <c r="I50" i="1"/>
  <c r="H42" i="1"/>
  <c r="J42" i="1" s="1"/>
  <c r="K1818" i="83" l="1"/>
  <c r="K50" i="1"/>
  <c r="N415" i="83"/>
  <c r="N41" i="1"/>
  <c r="K52" i="1"/>
  <c r="K22" i="1"/>
  <c r="L42" i="1"/>
  <c r="K55" i="1"/>
  <c r="K1772" i="83" l="1"/>
  <c r="H119" i="1"/>
  <c r="J119" i="1" s="1"/>
  <c r="N42" i="1"/>
  <c r="G126" i="1"/>
  <c r="G124" i="1"/>
  <c r="G123" i="1"/>
  <c r="G122" i="1"/>
  <c r="G121" i="1"/>
  <c r="G120" i="1"/>
  <c r="G119" i="1"/>
  <c r="G117" i="1"/>
  <c r="G116" i="1"/>
  <c r="G115" i="1"/>
  <c r="G114" i="1"/>
  <c r="G113" i="1"/>
  <c r="G112" i="1"/>
  <c r="G110" i="1"/>
  <c r="G109" i="1"/>
  <c r="G108" i="1"/>
  <c r="G107" i="1"/>
  <c r="G105" i="1"/>
  <c r="G104" i="1"/>
  <c r="G103" i="1"/>
  <c r="G102" i="1"/>
  <c r="G101" i="1"/>
  <c r="G100" i="1"/>
  <c r="G99" i="1"/>
  <c r="G98" i="1"/>
  <c r="G97" i="1"/>
  <c r="G95" i="1"/>
  <c r="G94" i="1"/>
  <c r="G93" i="1"/>
  <c r="G92" i="1"/>
  <c r="G90" i="1"/>
  <c r="G88" i="1"/>
  <c r="G86" i="1"/>
  <c r="G84" i="1"/>
  <c r="G82" i="1"/>
  <c r="G79" i="1"/>
  <c r="G78" i="1"/>
  <c r="G77" i="1"/>
  <c r="G76" i="1"/>
  <c r="G75" i="1"/>
  <c r="G73" i="1"/>
  <c r="G72" i="1"/>
  <c r="G71" i="1"/>
  <c r="G70" i="1"/>
  <c r="G69" i="1"/>
  <c r="G68" i="1"/>
  <c r="G67" i="1"/>
  <c r="G66" i="1"/>
  <c r="G64" i="1"/>
  <c r="G62" i="1"/>
  <c r="G61" i="1"/>
  <c r="G60" i="1"/>
  <c r="G59" i="1"/>
  <c r="G58" i="1"/>
  <c r="G57" i="1"/>
  <c r="G56" i="1"/>
  <c r="G55" i="1"/>
  <c r="G54" i="1"/>
  <c r="G52" i="1"/>
  <c r="G51" i="1"/>
  <c r="G50" i="1"/>
  <c r="G42" i="1"/>
  <c r="G41" i="1"/>
  <c r="G40" i="1"/>
  <c r="G39" i="1"/>
  <c r="G38" i="1"/>
  <c r="G37" i="1"/>
  <c r="G35" i="1"/>
  <c r="G34" i="1"/>
  <c r="G33" i="1"/>
  <c r="G32" i="1"/>
  <c r="G31" i="1"/>
  <c r="G30" i="1"/>
  <c r="G29" i="1"/>
  <c r="G28" i="1"/>
  <c r="G26" i="1"/>
  <c r="G25" i="1"/>
  <c r="G24" i="1"/>
  <c r="G23" i="1"/>
  <c r="G22" i="1"/>
  <c r="G21" i="1"/>
  <c r="G20" i="1"/>
  <c r="G19" i="1"/>
  <c r="G18" i="1"/>
  <c r="G17" i="1"/>
  <c r="G16" i="1"/>
  <c r="G14" i="1"/>
  <c r="L119" i="1" l="1"/>
  <c r="G13" i="1"/>
  <c r="K1774" i="83"/>
  <c r="I112" i="1"/>
  <c r="I114" i="1"/>
  <c r="I115" i="1"/>
  <c r="I116" i="1"/>
  <c r="I117" i="1"/>
  <c r="I113" i="1"/>
  <c r="I103" i="1"/>
  <c r="I104" i="1"/>
  <c r="I105" i="1"/>
  <c r="I107" i="1"/>
  <c r="I108" i="1"/>
  <c r="I109" i="1"/>
  <c r="I71" i="1"/>
  <c r="I66" i="1"/>
  <c r="I77" i="1"/>
  <c r="I111" i="1" l="1"/>
  <c r="I64" i="1"/>
  <c r="I62" i="1"/>
  <c r="I61" i="1"/>
  <c r="I60" i="1"/>
  <c r="I59" i="1"/>
  <c r="I58" i="1"/>
  <c r="I57" i="1"/>
  <c r="I56" i="1"/>
  <c r="I55" i="1"/>
  <c r="I54" i="1"/>
  <c r="I52" i="1"/>
  <c r="I51" i="1"/>
  <c r="G53" i="1"/>
  <c r="B532" i="83"/>
  <c r="B510" i="83"/>
  <c r="B487" i="83"/>
  <c r="B475" i="83"/>
  <c r="B419" i="83"/>
  <c r="B397" i="83"/>
  <c r="B376" i="83"/>
  <c r="B355" i="83"/>
  <c r="B334" i="83"/>
  <c r="B310" i="83"/>
  <c r="B289" i="83"/>
  <c r="B266" i="83"/>
  <c r="B245" i="83"/>
  <c r="B224" i="83"/>
  <c r="B203" i="83"/>
  <c r="B182" i="83"/>
  <c r="B161" i="83"/>
  <c r="B140" i="83"/>
  <c r="B119" i="83"/>
  <c r="B98" i="83"/>
  <c r="B77" i="83"/>
  <c r="B56" i="83"/>
  <c r="B35" i="83"/>
  <c r="I38" i="1"/>
  <c r="I39" i="1"/>
  <c r="I40" i="1"/>
  <c r="I41" i="1"/>
  <c r="I42" i="1"/>
  <c r="I29" i="1"/>
  <c r="I30" i="1"/>
  <c r="I31" i="1"/>
  <c r="I32" i="1"/>
  <c r="I33" i="1"/>
  <c r="I34" i="1"/>
  <c r="I37" i="1"/>
  <c r="I28" i="1"/>
  <c r="I19" i="1"/>
  <c r="I20" i="1"/>
  <c r="I21" i="1"/>
  <c r="I22" i="1"/>
  <c r="I23" i="1"/>
  <c r="I24" i="1"/>
  <c r="I25" i="1"/>
  <c r="I26" i="1"/>
  <c r="B1519" i="83"/>
  <c r="B1921" i="83"/>
  <c r="B1900" i="83"/>
  <c r="B1816" i="83"/>
  <c r="B1795" i="83"/>
  <c r="B1772" i="83"/>
  <c r="B1753" i="83"/>
  <c r="B1732" i="83"/>
  <c r="B1711" i="83"/>
  <c r="B1690" i="83"/>
  <c r="B1669" i="83"/>
  <c r="B1648" i="83"/>
  <c r="B1627" i="83"/>
  <c r="B1606" i="83"/>
  <c r="B1585" i="83"/>
  <c r="B1561" i="83"/>
  <c r="B1540" i="83"/>
  <c r="B1495" i="83"/>
  <c r="B1474" i="83"/>
  <c r="B1451" i="83"/>
  <c r="B1431" i="83"/>
  <c r="B1409" i="83"/>
  <c r="B1387" i="83"/>
  <c r="B1366" i="83"/>
  <c r="B1345" i="83"/>
  <c r="B1324" i="83"/>
  <c r="B1260" i="83"/>
  <c r="B1236" i="83"/>
  <c r="B1216" i="83"/>
  <c r="B1193" i="83"/>
  <c r="B1170" i="83"/>
  <c r="B1149" i="83"/>
  <c r="B1108" i="83"/>
  <c r="B1087" i="83"/>
  <c r="B1066" i="83"/>
  <c r="B1045" i="83"/>
  <c r="B1029" i="83"/>
  <c r="B1008" i="83"/>
  <c r="B987" i="83"/>
  <c r="B966" i="83"/>
  <c r="B927" i="83"/>
  <c r="B903" i="83"/>
  <c r="B881" i="83"/>
  <c r="B860" i="83"/>
  <c r="B845" i="83"/>
  <c r="B828" i="83"/>
  <c r="B807" i="83"/>
  <c r="B796" i="83"/>
  <c r="B775" i="83"/>
  <c r="B754" i="83"/>
  <c r="B745" i="83"/>
  <c r="B718" i="83"/>
  <c r="B676" i="83"/>
  <c r="B651" i="83"/>
  <c r="B642" i="83"/>
  <c r="N492" i="83"/>
  <c r="D492" i="83"/>
  <c r="N480" i="83"/>
  <c r="D480" i="83"/>
  <c r="N469" i="83"/>
  <c r="D469" i="83"/>
  <c r="N458" i="83"/>
  <c r="D458" i="83"/>
  <c r="N447" i="83"/>
  <c r="D447" i="83"/>
  <c r="N424" i="83"/>
  <c r="D424" i="83"/>
  <c r="N402" i="83"/>
  <c r="I417" i="83" s="1"/>
  <c r="D402" i="83"/>
  <c r="N381" i="83"/>
  <c r="D381" i="83"/>
  <c r="N360" i="83"/>
  <c r="D360" i="83"/>
  <c r="N339" i="83"/>
  <c r="D339" i="83"/>
  <c r="N315" i="83"/>
  <c r="D315" i="83"/>
  <c r="N294" i="83"/>
  <c r="D294" i="83"/>
  <c r="N271" i="83"/>
  <c r="D271" i="83"/>
  <c r="N250" i="83"/>
  <c r="D250" i="83"/>
  <c r="N229" i="83"/>
  <c r="D229" i="83"/>
  <c r="N208" i="83"/>
  <c r="D208" i="83"/>
  <c r="N187" i="83"/>
  <c r="D187" i="83"/>
  <c r="N166" i="83"/>
  <c r="D166" i="83"/>
  <c r="N145" i="83"/>
  <c r="D145" i="83"/>
  <c r="N124" i="83"/>
  <c r="D124" i="83"/>
  <c r="N103" i="83"/>
  <c r="D103" i="83"/>
  <c r="N82" i="83"/>
  <c r="D82" i="83"/>
  <c r="N61" i="83"/>
  <c r="D61" i="83"/>
  <c r="N40" i="83"/>
  <c r="D40" i="83"/>
  <c r="N19" i="83"/>
  <c r="D19" i="83"/>
  <c r="I49" i="1" l="1"/>
  <c r="F12" i="4" s="1"/>
  <c r="G49" i="1"/>
  <c r="I123" i="1" l="1"/>
  <c r="I124" i="1"/>
  <c r="I120" i="1"/>
  <c r="I121" i="1"/>
  <c r="I122" i="1"/>
  <c r="I119" i="1"/>
  <c r="I98" i="1"/>
  <c r="I99" i="1"/>
  <c r="I100" i="1"/>
  <c r="I101" i="1"/>
  <c r="I110" i="1"/>
  <c r="I97" i="1"/>
  <c r="I88" i="1"/>
  <c r="I90" i="1"/>
  <c r="I92" i="1"/>
  <c r="I93" i="1"/>
  <c r="I94" i="1"/>
  <c r="I95" i="1"/>
  <c r="I86" i="1"/>
  <c r="I82" i="1"/>
  <c r="I79" i="1"/>
  <c r="I78" i="1"/>
  <c r="I76" i="1"/>
  <c r="I16" i="1"/>
  <c r="I118" i="1" l="1"/>
  <c r="I96" i="1"/>
  <c r="I85" i="1"/>
  <c r="I18" i="1"/>
  <c r="I17" i="1"/>
  <c r="B14" i="83" l="1"/>
  <c r="I73" i="1" l="1"/>
  <c r="I75" i="1"/>
  <c r="I72" i="1"/>
  <c r="I84" i="1"/>
  <c r="I80" i="1" s="1"/>
  <c r="M18" i="1"/>
  <c r="M17" i="1"/>
  <c r="M16" i="1"/>
  <c r="N9" i="83"/>
  <c r="D9" i="83"/>
  <c r="H45" i="81"/>
  <c r="F8" i="1"/>
  <c r="F9" i="1" s="1"/>
  <c r="C7" i="83"/>
  <c r="E6" i="4"/>
  <c r="E4" i="83"/>
  <c r="E5" i="83"/>
  <c r="N5" i="83"/>
  <c r="I5" i="83"/>
  <c r="C13" i="4"/>
  <c r="C15" i="4"/>
  <c r="D6" i="4"/>
  <c r="E8" i="4"/>
  <c r="O4" i="83"/>
  <c r="N30" i="1" l="1"/>
  <c r="M30" i="1"/>
  <c r="K30" i="1"/>
  <c r="M31" i="1"/>
  <c r="N31" i="1"/>
  <c r="K31" i="1"/>
  <c r="M62" i="1"/>
  <c r="K62" i="1"/>
  <c r="N62" i="1"/>
  <c r="M34" i="1"/>
  <c r="N34" i="1"/>
  <c r="K34" i="1"/>
  <c r="M61" i="1"/>
  <c r="N61" i="1"/>
  <c r="K61" i="1"/>
  <c r="M57" i="1"/>
  <c r="N57" i="1"/>
  <c r="K57" i="1"/>
  <c r="M52" i="1"/>
  <c r="N52" i="1"/>
  <c r="M66" i="1"/>
  <c r="K66" i="1"/>
  <c r="N66" i="1"/>
  <c r="M109" i="1"/>
  <c r="K109" i="1"/>
  <c r="N109" i="1"/>
  <c r="M113" i="1"/>
  <c r="K113" i="1"/>
  <c r="N113" i="1"/>
  <c r="M115" i="1"/>
  <c r="K115" i="1"/>
  <c r="N115" i="1"/>
  <c r="M42" i="1"/>
  <c r="K42" i="1"/>
  <c r="M28" i="1"/>
  <c r="N28" i="1"/>
  <c r="K28" i="1"/>
  <c r="M56" i="1"/>
  <c r="K56" i="1"/>
  <c r="N56" i="1"/>
  <c r="M51" i="1"/>
  <c r="N51" i="1"/>
  <c r="M108" i="1"/>
  <c r="K108" i="1"/>
  <c r="N108" i="1"/>
  <c r="M107" i="1"/>
  <c r="K107" i="1"/>
  <c r="N107" i="1"/>
  <c r="M116" i="1"/>
  <c r="K116" i="1"/>
  <c r="N116" i="1"/>
  <c r="M112" i="1"/>
  <c r="K112" i="1"/>
  <c r="N112" i="1"/>
  <c r="M26" i="1"/>
  <c r="N26" i="1"/>
  <c r="K26" i="1"/>
  <c r="M24" i="1"/>
  <c r="K24" i="1"/>
  <c r="N24" i="1"/>
  <c r="M22" i="1"/>
  <c r="N22" i="1"/>
  <c r="K20" i="1"/>
  <c r="M20" i="1"/>
  <c r="N20" i="1"/>
  <c r="K40" i="1"/>
  <c r="M40" i="1"/>
  <c r="N40" i="1"/>
  <c r="N33" i="1"/>
  <c r="K33" i="1"/>
  <c r="M33" i="1"/>
  <c r="M41" i="1"/>
  <c r="K41" i="1"/>
  <c r="M58" i="1"/>
  <c r="K58" i="1"/>
  <c r="N58" i="1"/>
  <c r="M32" i="1"/>
  <c r="N32" i="1"/>
  <c r="K32" i="1"/>
  <c r="M38" i="1"/>
  <c r="N38" i="1"/>
  <c r="K38" i="1"/>
  <c r="K39" i="1"/>
  <c r="N39" i="1"/>
  <c r="M39" i="1"/>
  <c r="M59" i="1"/>
  <c r="N59" i="1"/>
  <c r="K59" i="1"/>
  <c r="M55" i="1"/>
  <c r="N55" i="1"/>
  <c r="M71" i="1"/>
  <c r="K71" i="1"/>
  <c r="N71" i="1"/>
  <c r="M104" i="1"/>
  <c r="K104" i="1"/>
  <c r="N104" i="1"/>
  <c r="M105" i="1"/>
  <c r="K105" i="1"/>
  <c r="N105" i="1"/>
  <c r="M114" i="1"/>
  <c r="K114" i="1"/>
  <c r="N114" i="1"/>
  <c r="K29" i="1"/>
  <c r="N29" i="1"/>
  <c r="M29" i="1"/>
  <c r="M37" i="1"/>
  <c r="N37" i="1"/>
  <c r="K37" i="1"/>
  <c r="M60" i="1"/>
  <c r="K60" i="1"/>
  <c r="N60" i="1"/>
  <c r="M54" i="1"/>
  <c r="K54" i="1"/>
  <c r="N54" i="1"/>
  <c r="M77" i="1"/>
  <c r="K77" i="1"/>
  <c r="N77" i="1"/>
  <c r="M103" i="1"/>
  <c r="K103" i="1"/>
  <c r="N103" i="1"/>
  <c r="M102" i="1"/>
  <c r="K102" i="1"/>
  <c r="N102" i="1"/>
  <c r="M117" i="1"/>
  <c r="K117" i="1"/>
  <c r="N117" i="1"/>
  <c r="M64" i="1"/>
  <c r="K64" i="1"/>
  <c r="N64" i="1"/>
  <c r="M25" i="1"/>
  <c r="N25" i="1"/>
  <c r="K25" i="1"/>
  <c r="M23" i="1"/>
  <c r="K23" i="1"/>
  <c r="N23" i="1"/>
  <c r="K19" i="1"/>
  <c r="N19" i="1"/>
  <c r="M19" i="1"/>
  <c r="M50" i="1"/>
  <c r="N50" i="1"/>
  <c r="N16" i="1"/>
  <c r="K16" i="1"/>
  <c r="K18" i="1"/>
  <c r="N18" i="1"/>
  <c r="N17" i="1"/>
  <c r="K17" i="1"/>
  <c r="B45" i="81"/>
  <c r="B38" i="81"/>
  <c r="H8" i="4"/>
  <c r="G8" i="4"/>
  <c r="B8" i="4"/>
  <c r="B6" i="4"/>
  <c r="B19" i="4"/>
  <c r="B18" i="4"/>
  <c r="B17" i="4"/>
  <c r="B16" i="4"/>
  <c r="B15" i="4"/>
  <c r="B14" i="4"/>
  <c r="B13" i="4"/>
  <c r="B12" i="4"/>
  <c r="B11" i="4"/>
  <c r="C19" i="4"/>
  <c r="C18" i="4"/>
  <c r="C17" i="4"/>
  <c r="C16" i="4"/>
  <c r="C14" i="4"/>
  <c r="C12" i="4"/>
  <c r="C11" i="4"/>
  <c r="G74" i="1"/>
  <c r="K49" i="1" l="1"/>
  <c r="G12" i="4" s="1"/>
  <c r="P77" i="1"/>
  <c r="Q77" i="1" s="1"/>
  <c r="P71" i="1"/>
  <c r="Q71" i="1" s="1"/>
  <c r="M49" i="1"/>
  <c r="P66" i="1"/>
  <c r="Q66" i="1" s="1"/>
  <c r="I70" i="1"/>
  <c r="I69" i="1"/>
  <c r="I68" i="1"/>
  <c r="I67" i="1"/>
  <c r="P40" i="1"/>
  <c r="Q40" i="1" s="1"/>
  <c r="P18" i="1"/>
  <c r="Q18" i="1" s="1"/>
  <c r="P41" i="1"/>
  <c r="Q41" i="1" s="1"/>
  <c r="P39" i="1"/>
  <c r="Q39" i="1" s="1"/>
  <c r="P17" i="1"/>
  <c r="Q17" i="1" s="1"/>
  <c r="P42" i="1"/>
  <c r="Q42" i="1" s="1"/>
  <c r="P16" i="1"/>
  <c r="Q16" i="1" s="1"/>
  <c r="I65" i="1" l="1"/>
  <c r="M121" i="1"/>
  <c r="M101" i="1"/>
  <c r="M95" i="1"/>
  <c r="M120" i="1"/>
  <c r="M119" i="1"/>
  <c r="M98" i="1"/>
  <c r="M88" i="1"/>
  <c r="M92" i="1"/>
  <c r="M86" i="1"/>
  <c r="L124" i="1"/>
  <c r="M124" i="1" s="1"/>
  <c r="M99" i="1"/>
  <c r="M93" i="1"/>
  <c r="M79" i="1"/>
  <c r="M76" i="1"/>
  <c r="L123" i="1"/>
  <c r="M123" i="1" s="1"/>
  <c r="L122" i="1"/>
  <c r="M122" i="1" s="1"/>
  <c r="M100" i="1"/>
  <c r="M110" i="1"/>
  <c r="M97" i="1"/>
  <c r="M90" i="1"/>
  <c r="M94" i="1"/>
  <c r="M82" i="1"/>
  <c r="M78" i="1"/>
  <c r="M84" i="1"/>
  <c r="M73" i="1"/>
  <c r="M72" i="1"/>
  <c r="M75" i="1"/>
  <c r="M67" i="1"/>
  <c r="M68" i="1"/>
  <c r="M69" i="1"/>
  <c r="M70" i="1"/>
  <c r="M14" i="1"/>
  <c r="P15" i="1"/>
  <c r="Q15" i="1" s="1"/>
  <c r="E11" i="4"/>
  <c r="N75" i="1" l="1"/>
  <c r="P74" i="1"/>
  <c r="Q74" i="1" s="1"/>
  <c r="K72" i="1"/>
  <c r="N72" i="1"/>
  <c r="K78" i="1"/>
  <c r="N78" i="1"/>
  <c r="K82" i="1"/>
  <c r="N82" i="1"/>
  <c r="K90" i="1"/>
  <c r="N90" i="1"/>
  <c r="K110" i="1"/>
  <c r="N110" i="1"/>
  <c r="M111" i="1"/>
  <c r="H17" i="4" s="1"/>
  <c r="G17" i="4"/>
  <c r="K76" i="1"/>
  <c r="N76" i="1"/>
  <c r="P109" i="1"/>
  <c r="Q109" i="1" s="1"/>
  <c r="N92" i="1"/>
  <c r="K92" i="1"/>
  <c r="N98" i="1"/>
  <c r="K98" i="1"/>
  <c r="P98" i="1" s="1"/>
  <c r="Q98" i="1" s="1"/>
  <c r="N120" i="1"/>
  <c r="K120" i="1"/>
  <c r="P120" i="1" s="1"/>
  <c r="Q120" i="1" s="1"/>
  <c r="N95" i="1"/>
  <c r="K95" i="1"/>
  <c r="P95" i="1" s="1"/>
  <c r="Q95" i="1" s="1"/>
  <c r="N101" i="1"/>
  <c r="K101" i="1"/>
  <c r="P101" i="1" s="1"/>
  <c r="Q101" i="1" s="1"/>
  <c r="K75" i="1"/>
  <c r="P75" i="1" s="1"/>
  <c r="Q75" i="1" s="1"/>
  <c r="K73" i="1"/>
  <c r="N73" i="1"/>
  <c r="N84" i="1"/>
  <c r="K84" i="1"/>
  <c r="N94" i="1"/>
  <c r="K94" i="1"/>
  <c r="N97" i="1"/>
  <c r="K97" i="1"/>
  <c r="K100" i="1"/>
  <c r="N100" i="1"/>
  <c r="K122" i="1"/>
  <c r="N122" i="1"/>
  <c r="K123" i="1"/>
  <c r="N123" i="1"/>
  <c r="N79" i="1"/>
  <c r="K79" i="1"/>
  <c r="K93" i="1"/>
  <c r="N93" i="1"/>
  <c r="K99" i="1"/>
  <c r="N99" i="1"/>
  <c r="K124" i="1"/>
  <c r="N124" i="1"/>
  <c r="K86" i="1"/>
  <c r="N86" i="1"/>
  <c r="K88" i="1"/>
  <c r="N88" i="1"/>
  <c r="K119" i="1"/>
  <c r="N119" i="1"/>
  <c r="K121" i="1"/>
  <c r="N121" i="1"/>
  <c r="N68" i="1"/>
  <c r="K68" i="1"/>
  <c r="N70" i="1"/>
  <c r="K70" i="1"/>
  <c r="N69" i="1"/>
  <c r="K69" i="1"/>
  <c r="K67" i="1"/>
  <c r="N67" i="1"/>
  <c r="N14" i="1"/>
  <c r="F17" i="4"/>
  <c r="F15" i="4"/>
  <c r="F16" i="4"/>
  <c r="F13" i="4"/>
  <c r="F18" i="4"/>
  <c r="F14" i="4"/>
  <c r="K65" i="1" l="1"/>
  <c r="P89" i="1"/>
  <c r="Q89" i="1" s="1"/>
  <c r="P87" i="1"/>
  <c r="Q87" i="1" s="1"/>
  <c r="P79" i="1"/>
  <c r="Q79" i="1" s="1"/>
  <c r="P94" i="1"/>
  <c r="Q94" i="1" s="1"/>
  <c r="P92" i="1"/>
  <c r="Q92" i="1" s="1"/>
  <c r="P84" i="1"/>
  <c r="Q84" i="1" s="1"/>
  <c r="G18" i="4"/>
  <c r="P110" i="1"/>
  <c r="Q110" i="1" s="1"/>
  <c r="P88" i="1"/>
  <c r="Q88" i="1" s="1"/>
  <c r="P73" i="1"/>
  <c r="Q73" i="1" s="1"/>
  <c r="P83" i="1"/>
  <c r="Q83" i="1" s="1"/>
  <c r="P76" i="1"/>
  <c r="Q76" i="1" s="1"/>
  <c r="P119" i="1"/>
  <c r="Q119" i="1" s="1"/>
  <c r="K118" i="1"/>
  <c r="K85" i="1"/>
  <c r="P86" i="1"/>
  <c r="Q86" i="1" s="1"/>
  <c r="P99" i="1"/>
  <c r="Q99" i="1" s="1"/>
  <c r="P93" i="1"/>
  <c r="Q93" i="1" s="1"/>
  <c r="P123" i="1"/>
  <c r="Q123" i="1" s="1"/>
  <c r="M80" i="1"/>
  <c r="H14" i="4" s="1"/>
  <c r="G16" i="4"/>
  <c r="G15" i="4"/>
  <c r="G14" i="4"/>
  <c r="P121" i="1"/>
  <c r="Q121" i="1" s="1"/>
  <c r="P91" i="1"/>
  <c r="Q91" i="1" s="1"/>
  <c r="M118" i="1"/>
  <c r="H18" i="4" s="1"/>
  <c r="P108" i="1"/>
  <c r="Q108" i="1" s="1"/>
  <c r="M85" i="1"/>
  <c r="H15" i="4" s="1"/>
  <c r="P124" i="1"/>
  <c r="Q124" i="1" s="1"/>
  <c r="P122" i="1"/>
  <c r="Q122" i="1" s="1"/>
  <c r="P100" i="1"/>
  <c r="Q100" i="1" s="1"/>
  <c r="K96" i="1"/>
  <c r="P97" i="1"/>
  <c r="Q97" i="1" s="1"/>
  <c r="M96" i="1"/>
  <c r="H16" i="4" s="1"/>
  <c r="P81" i="1"/>
  <c r="Q81" i="1" s="1"/>
  <c r="K80" i="1"/>
  <c r="K111" i="1"/>
  <c r="P111" i="1" s="1"/>
  <c r="P90" i="1"/>
  <c r="Q90" i="1" s="1"/>
  <c r="P82" i="1"/>
  <c r="Q82" i="1" s="1"/>
  <c r="P78" i="1"/>
  <c r="Q78" i="1" s="1"/>
  <c r="P72" i="1"/>
  <c r="Q72" i="1" s="1"/>
  <c r="G13" i="4"/>
  <c r="M65" i="1"/>
  <c r="H13" i="4" s="1"/>
  <c r="P70" i="1"/>
  <c r="Q70" i="1" s="1"/>
  <c r="P68" i="1"/>
  <c r="Q68" i="1" s="1"/>
  <c r="P67" i="1"/>
  <c r="Q67" i="1" s="1"/>
  <c r="P69" i="1"/>
  <c r="Q69" i="1" s="1"/>
  <c r="P14" i="1"/>
  <c r="Q14" i="1" s="1"/>
  <c r="P80" i="1" l="1"/>
  <c r="P85" i="1"/>
  <c r="P96" i="1"/>
  <c r="P118" i="1"/>
  <c r="P65" i="1"/>
  <c r="G80" i="1" l="1"/>
  <c r="G118" i="1"/>
  <c r="G65" i="1"/>
  <c r="G96" i="1"/>
  <c r="G125" i="1"/>
  <c r="G85" i="1"/>
  <c r="G111" i="1"/>
  <c r="E15" i="4" l="1"/>
  <c r="I15" i="4" s="1"/>
  <c r="Q85" i="1"/>
  <c r="E17" i="4"/>
  <c r="I17" i="4" s="1"/>
  <c r="Q111" i="1"/>
  <c r="E16" i="4"/>
  <c r="I16" i="4" s="1"/>
  <c r="Q96" i="1"/>
  <c r="E14" i="4"/>
  <c r="I14" i="4" s="1"/>
  <c r="Q80" i="1"/>
  <c r="E18" i="4"/>
  <c r="I18" i="4" s="1"/>
  <c r="Q118" i="1"/>
  <c r="E13" i="4"/>
  <c r="I13" i="4" s="1"/>
  <c r="Q65" i="1"/>
  <c r="E19" i="4"/>
  <c r="E12" i="4"/>
  <c r="E20" i="4" l="1"/>
  <c r="P61" i="1" l="1"/>
  <c r="Q61" i="1" s="1"/>
  <c r="H12" i="4"/>
  <c r="P49" i="1" l="1"/>
  <c r="Q49" i="1" s="1"/>
  <c r="I12" i="4"/>
  <c r="H43" i="1"/>
  <c r="J43" i="1" s="1"/>
  <c r="D1198" i="83"/>
  <c r="D1545" i="83"/>
  <c r="N723" i="83"/>
  <c r="N948" i="83"/>
  <c r="N1113" i="83"/>
  <c r="N1241" i="83"/>
  <c r="N1308" i="83"/>
  <c r="N1350" i="83"/>
  <c r="N1392" i="83"/>
  <c r="N1436" i="83"/>
  <c r="N1479" i="83"/>
  <c r="N1545" i="83"/>
  <c r="N1590" i="83"/>
  <c r="N1632" i="83"/>
  <c r="N1674" i="83"/>
  <c r="N1716" i="83"/>
  <c r="N1758" i="83"/>
  <c r="D1524" i="83"/>
  <c r="D516" i="83"/>
  <c r="D1884" i="83"/>
  <c r="N1524" i="83"/>
  <c r="D681" i="83"/>
  <c r="D992" i="83"/>
  <c r="D1308" i="83"/>
  <c r="N865" i="83"/>
  <c r="N1154" i="83"/>
  <c r="N516" i="83"/>
  <c r="D801" i="83"/>
  <c r="D1071" i="83"/>
  <c r="D1436" i="83"/>
  <c r="N759" i="83"/>
  <c r="N1071" i="83"/>
  <c r="D750" i="83"/>
  <c r="D850" i="83"/>
  <c r="D971" i="83"/>
  <c r="D1013" i="83"/>
  <c r="D1050" i="83"/>
  <c r="D1092" i="83"/>
  <c r="D1133" i="83"/>
  <c r="D1175" i="83"/>
  <c r="D1221" i="83"/>
  <c r="D1329" i="83"/>
  <c r="D1371" i="83"/>
  <c r="D1414" i="83"/>
  <c r="D1456" i="83"/>
  <c r="D1500" i="83"/>
  <c r="D1566" i="83"/>
  <c r="D1611" i="83"/>
  <c r="D1653" i="83"/>
  <c r="D1695" i="83"/>
  <c r="D1737" i="83"/>
  <c r="D1777" i="83"/>
  <c r="D833" i="83"/>
  <c r="D1113" i="83"/>
  <c r="D1392" i="83"/>
  <c r="N648" i="83"/>
  <c r="N833" i="83"/>
  <c r="N1034" i="83"/>
  <c r="N1884" i="83"/>
  <c r="D627" i="83"/>
  <c r="D780" i="83"/>
  <c r="N657" i="83"/>
  <c r="N780" i="83"/>
  <c r="N886" i="83"/>
  <c r="N1013" i="83"/>
  <c r="N1092" i="83"/>
  <c r="N1175" i="83"/>
  <c r="N1221" i="83"/>
  <c r="N1329" i="83"/>
  <c r="N1371" i="83"/>
  <c r="N1414" i="83"/>
  <c r="N1456" i="83"/>
  <c r="N1500" i="83"/>
  <c r="N1566" i="83"/>
  <c r="N1611" i="83"/>
  <c r="N1653" i="83"/>
  <c r="N1695" i="83"/>
  <c r="N1737" i="83"/>
  <c r="N1777" i="83"/>
  <c r="D648" i="83"/>
  <c r="D908" i="83"/>
  <c r="D1154" i="83"/>
  <c r="D1590" i="83"/>
  <c r="N681" i="83"/>
  <c r="N908" i="83"/>
  <c r="N1198" i="83"/>
  <c r="D705" i="83"/>
  <c r="D886" i="83"/>
  <c r="N627" i="83"/>
  <c r="N750" i="83"/>
  <c r="N850" i="83"/>
  <c r="N971" i="83"/>
  <c r="N1133" i="83"/>
  <c r="D1905" i="83"/>
  <c r="D759" i="83"/>
  <c r="D1034" i="83"/>
  <c r="D1350" i="83"/>
  <c r="N801" i="83"/>
  <c r="N992" i="83"/>
  <c r="D812" i="83"/>
  <c r="N705" i="83"/>
  <c r="N812" i="83"/>
  <c r="N1050" i="83"/>
  <c r="D1800" i="83"/>
  <c r="N1905" i="83"/>
  <c r="D723" i="83"/>
  <c r="D948" i="83"/>
  <c r="D1241" i="83"/>
  <c r="D1479" i="83"/>
  <c r="D1632" i="83"/>
  <c r="D1674" i="83"/>
  <c r="D1716" i="83"/>
  <c r="D1758" i="83"/>
  <c r="N1800" i="83"/>
  <c r="N1863" i="83"/>
  <c r="N1821" i="83"/>
  <c r="D1821" i="83"/>
  <c r="D1863" i="83"/>
  <c r="N1842" i="83"/>
  <c r="D1842" i="83"/>
  <c r="I43" i="1" l="1"/>
  <c r="L43" i="1"/>
  <c r="M43" i="1" s="1"/>
  <c r="K43" i="1" l="1"/>
  <c r="P43" i="1" s="1"/>
  <c r="Q43" i="1" s="1"/>
  <c r="N43" i="1"/>
  <c r="E127" i="1" l="1"/>
  <c r="M7" i="1" l="1"/>
  <c r="H1907" i="83" s="1"/>
  <c r="N1907" i="83" s="1"/>
  <c r="K1911" i="83" s="1"/>
  <c r="H35" i="1"/>
  <c r="J35" i="1" s="1"/>
  <c r="I35" i="1" l="1"/>
  <c r="I13" i="1" s="1"/>
  <c r="H1909" i="83" s="1"/>
  <c r="H1911" i="83" s="1"/>
  <c r="L35" i="1"/>
  <c r="M35" i="1" s="1"/>
  <c r="N1911" i="83" l="1"/>
  <c r="H1914" i="83" s="1"/>
  <c r="O1905" i="83" s="1"/>
  <c r="F11" i="4"/>
  <c r="K35" i="1"/>
  <c r="N35" i="1"/>
  <c r="H126" i="1" l="1"/>
  <c r="J126" i="1" s="1"/>
  <c r="N126" i="1" l="1"/>
  <c r="I126" i="1"/>
  <c r="I125" i="1" s="1"/>
  <c r="H127" i="1" s="1"/>
  <c r="I8" i="1" s="1"/>
  <c r="K126" i="1" l="1"/>
  <c r="K125" i="1" s="1"/>
  <c r="L126" i="1"/>
  <c r="M126" i="1" s="1"/>
  <c r="M125" i="1" s="1"/>
  <c r="H19" i="4" s="1"/>
  <c r="F19" i="4"/>
  <c r="F20" i="4" s="1"/>
  <c r="P125" i="1" l="1"/>
  <c r="Q125" i="1" s="1"/>
  <c r="P126" i="1"/>
  <c r="Q126" i="1" s="1"/>
  <c r="L21" i="1"/>
  <c r="M21" i="1" s="1"/>
  <c r="M13" i="1" s="1"/>
  <c r="K21" i="1"/>
  <c r="K13" i="1" s="1"/>
  <c r="J127" i="1" s="1"/>
  <c r="N21" i="1"/>
  <c r="G11" i="4" l="1"/>
  <c r="H11" i="4"/>
  <c r="H20" i="4" s="1"/>
  <c r="L127" i="1"/>
  <c r="M9" i="1" s="1"/>
  <c r="M8" i="1"/>
  <c r="N127" i="1"/>
  <c r="P13" i="1"/>
  <c r="Q13" i="1" s="1"/>
  <c r="I11" i="4" l="1"/>
  <c r="P127" i="1"/>
  <c r="Q127" i="1" s="1"/>
  <c r="G19" i="4" l="1"/>
  <c r="I19" i="4" l="1"/>
  <c r="G20" i="4"/>
  <c r="I20" i="4" s="1"/>
  <c r="K1921" i="83" l="1"/>
  <c r="K1923" i="83" s="1"/>
  <c r="K1280" i="83" l="1"/>
  <c r="K1281" i="83" s="1"/>
  <c r="K1283" i="83" s="1"/>
  <c r="K753" i="83" l="1"/>
  <c r="K754" i="83" s="1"/>
  <c r="K756" i="83" s="1"/>
  <c r="K744" i="83" l="1"/>
  <c r="K745" i="83" s="1"/>
  <c r="K747" i="83" s="1"/>
  <c r="K717" i="83"/>
  <c r="K718" i="83" s="1"/>
  <c r="K720" i="83" s="1"/>
  <c r="K486" i="83" l="1"/>
  <c r="K487" i="83" s="1"/>
  <c r="K489" i="83" s="1"/>
  <c r="K1192" i="83" l="1"/>
  <c r="K1193" i="83" s="1"/>
  <c r="K1195" i="83" s="1"/>
  <c r="K440" i="83" l="1"/>
  <c r="K441" i="83" s="1"/>
  <c r="K443" i="83" s="1"/>
  <c r="K698" i="83" l="1"/>
  <c r="K699" i="83" s="1"/>
  <c r="K701" i="83" s="1"/>
  <c r="K309" i="83"/>
  <c r="K310" i="83" s="1"/>
  <c r="K312" i="83" s="1"/>
  <c r="K288" i="83" l="1"/>
  <c r="K289" i="83" s="1"/>
  <c r="K291" i="83" s="1"/>
  <c r="K333" i="83"/>
  <c r="K334" i="83" s="1"/>
  <c r="K336" i="83" s="1"/>
  <c r="K1065" i="83" l="1"/>
  <c r="K1066" i="83" s="1"/>
  <c r="K1068" i="83" s="1"/>
  <c r="K1044" i="83"/>
  <c r="K1045" i="83" s="1"/>
  <c r="K1047" i="83" s="1"/>
  <c r="K844" i="83" l="1"/>
  <c r="K845" i="83" s="1"/>
  <c r="K847" i="83" s="1"/>
  <c r="K375" i="83" l="1"/>
  <c r="K376" i="83" s="1"/>
  <c r="K378" i="83" s="1"/>
  <c r="K265" i="83" l="1"/>
  <c r="K266" i="83" s="1"/>
  <c r="K268" i="83" s="1"/>
  <c r="K531" i="83" l="1"/>
  <c r="K532" i="83" s="1"/>
  <c r="K534" i="83" s="1"/>
  <c r="K418" i="83" l="1"/>
  <c r="K419" i="83" s="1"/>
  <c r="K421" i="83" s="1"/>
  <c r="A536" i="83" l="1"/>
  <c r="A536" i="83" a="1"/>
  <c r="A779" i="83"/>
  <c r="A779" i="83"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<sst xmlns="http://schemas.openxmlformats.org/spreadsheetml/2006/main" count="2038" uniqueCount="484">
  <si>
    <t>UNID.</t>
  </si>
  <si>
    <t>CONTRATO</t>
  </si>
  <si>
    <t xml:space="preserve">MEDIÇÃO </t>
  </si>
  <si>
    <t xml:space="preserve">ACUMULADO </t>
  </si>
  <si>
    <t>QUANT.</t>
  </si>
  <si>
    <t>SALDO</t>
  </si>
  <si>
    <t>1.1</t>
  </si>
  <si>
    <t>1.2</t>
  </si>
  <si>
    <t>1.3</t>
  </si>
  <si>
    <t>1.4</t>
  </si>
  <si>
    <t>1.5</t>
  </si>
  <si>
    <t>1.6</t>
  </si>
  <si>
    <t>1.7</t>
  </si>
  <si>
    <t>1.8</t>
  </si>
  <si>
    <t>1.9</t>
  </si>
  <si>
    <t>1.10</t>
  </si>
  <si>
    <t>2.1</t>
  </si>
  <si>
    <t>ADMINISTRAÇÃO LOCAL</t>
  </si>
  <si>
    <t>Objeto:</t>
  </si>
  <si>
    <t>TOTAL</t>
  </si>
  <si>
    <t>Contratada:</t>
  </si>
  <si>
    <t>Período:</t>
  </si>
  <si>
    <t>BOLETIM DE MEDIÇÃO</t>
  </si>
  <si>
    <t>% EXEC.</t>
  </si>
  <si>
    <t>1</t>
  </si>
  <si>
    <t>2</t>
  </si>
  <si>
    <t>3</t>
  </si>
  <si>
    <t>4</t>
  </si>
  <si>
    <t>5</t>
  </si>
  <si>
    <t>6</t>
  </si>
  <si>
    <t>7</t>
  </si>
  <si>
    <t>8</t>
  </si>
  <si>
    <t>9</t>
  </si>
  <si>
    <t>TOTAL GERAL</t>
  </si>
  <si>
    <t>ITEM</t>
  </si>
  <si>
    <t>DESCRIÇÃO</t>
  </si>
  <si>
    <t>Contrato Nº:</t>
  </si>
  <si>
    <t>Data:</t>
  </si>
  <si>
    <t>Local da Prestação de serviço:</t>
  </si>
  <si>
    <t>CONTRATO (R$)</t>
  </si>
  <si>
    <t>MEDIÇÃO (R$)</t>
  </si>
  <si>
    <t>ACUMULADO (R$)</t>
  </si>
  <si>
    <t>SALDO (R$)</t>
  </si>
  <si>
    <t>SECRETARIA MUNICIPAL DE OBRAS E SERVIÇOS PÚBLICOS</t>
  </si>
  <si>
    <t>LOCAL:</t>
  </si>
  <si>
    <t>CONTRATO N°:</t>
  </si>
  <si>
    <t>PERÍODO:</t>
  </si>
  <si>
    <t>MUNICÍPIO DE SANTA LUZIA/MG</t>
  </si>
  <si>
    <t>1.11</t>
  </si>
  <si>
    <t>1.12</t>
  </si>
  <si>
    <t>1.13</t>
  </si>
  <si>
    <t>1.14</t>
  </si>
  <si>
    <t>1.15</t>
  </si>
  <si>
    <t>1.16</t>
  </si>
  <si>
    <t>1.17</t>
  </si>
  <si>
    <t>1.18</t>
  </si>
  <si>
    <t>1.19</t>
  </si>
  <si>
    <t>1.20</t>
  </si>
  <si>
    <t>1.21</t>
  </si>
  <si>
    <t>1.22</t>
  </si>
  <si>
    <t>1.23</t>
  </si>
  <si>
    <t>1.24</t>
  </si>
  <si>
    <t>1.25</t>
  </si>
  <si>
    <t>M2</t>
  </si>
  <si>
    <t>UN</t>
  </si>
  <si>
    <t>M</t>
  </si>
  <si>
    <t>M3</t>
  </si>
  <si>
    <t>U</t>
  </si>
  <si>
    <t>PREFEITURA MUNICIPAL DE SANTA LUZIA</t>
  </si>
  <si>
    <t>VALOR TOTAL (R$)</t>
  </si>
  <si>
    <t>VALOR (R$)</t>
  </si>
  <si>
    <t>VALOR
UNIT. (R$)</t>
  </si>
  <si>
    <t>Local:</t>
  </si>
  <si>
    <t>dias</t>
  </si>
  <si>
    <t>Valor Aditivo:</t>
  </si>
  <si>
    <t>Acumulado Medições</t>
  </si>
  <si>
    <t>Valor Contrato:</t>
  </si>
  <si>
    <t>Valor Contrato + Aditivo:</t>
  </si>
  <si>
    <t>Saldo Contrato:</t>
  </si>
  <si>
    <t>Data de Início:</t>
  </si>
  <si>
    <t>Prazo Aditivado:</t>
  </si>
  <si>
    <t>Data de Término:</t>
  </si>
  <si>
    <t xml:space="preserve">Prazo de Exec.: </t>
  </si>
  <si>
    <t>Previsão de Térm.:</t>
  </si>
  <si>
    <t>Valor Medição:</t>
  </si>
  <si>
    <t>Medição Nº:</t>
  </si>
  <si>
    <t>BOLETIM DE MEDIÇÃO DETALHADO</t>
  </si>
  <si>
    <t>CLIENTE:</t>
  </si>
  <si>
    <r>
      <t xml:space="preserve">PREFEITURA MUNICIPAL DE SANTA LUZIA
</t>
    </r>
    <r>
      <rPr>
        <sz val="16"/>
        <rFont val="Arial"/>
        <family val="2"/>
      </rPr>
      <t>SECRETARIA MUNICIPAL DE OBRAS E SERVIÇOS PÚBLICOS</t>
    </r>
  </si>
  <si>
    <t>Objeto do Contrato:</t>
  </si>
  <si>
    <t>Período Medição:</t>
  </si>
  <si>
    <t>MEMÓRIA DE CÁLCULO</t>
  </si>
  <si>
    <t>CONFERÊNCIA</t>
  </si>
  <si>
    <t>SERVIÇOS PRELIMINARES</t>
  </si>
  <si>
    <t>REMOÇÕES</t>
  </si>
  <si>
    <t>ACESSÓRIOS , COBERTURA PROVISÓRIA, ESCADA DE SERVIÇO</t>
  </si>
  <si>
    <t xml:space="preserve">MOVIMENTO DE TERRAS </t>
  </si>
  <si>
    <t xml:space="preserve">INFRA-ESTRUTURA: FUNDAÇÕES </t>
  </si>
  <si>
    <t xml:space="preserve">ESTRUTURAL ESTEIOS E ESCADA </t>
  </si>
  <si>
    <t>TABUADOS E ACESSÓRIOS DE MADEIRA PARA ESTRUTURA DEFINITIVA DO TELHADO</t>
  </si>
  <si>
    <t>ACOMPANHAMENTO TÉCNICO E ARTÍSTICO</t>
  </si>
  <si>
    <t>FORNECIMENTO E COLOCAÇÃO DE PLACA DE OBRA EM CHAPA GALVANIZADA (3,00 X 1,5 0 M) - EM CHAPA GALVANIZADA 0,26 AFIXADAS COM REBITES 540 E PARAFUSOS 3/8, EM ESTRUTURA METÁLICA VIGA U 2" ENRIJECIDA COM METALON 20 X 20, SUPORTE EM EUCALIPTO AUTOCLAVADO PINTADAS</t>
  </si>
  <si>
    <t>TAPUME PADRAO SUDECAP (TIPO I, II E III)</t>
  </si>
  <si>
    <t>CHAPA DE ZINCO 0,5 MM ESTRUTURADO COM MADEIRA, ALTURA 2,1 M</t>
  </si>
  <si>
    <t>CABO ATERRAMENTO DO TAPUME METÁLICO 25 mm2</t>
  </si>
  <si>
    <t>HASTE ATERRAMENTO TAPUME</t>
  </si>
  <si>
    <t>UNID</t>
  </si>
  <si>
    <t>PINTURA EPÓXI EM SUPERFÍCIES DE AÇO CARBONO, DUAS (2) DEMÃOS</t>
  </si>
  <si>
    <t>LIGAÇÃO PROVISÓRIA DE LUZ E FORÇA-PADRÃO PROVISÓRIO 30KVA</t>
  </si>
  <si>
    <t>CONTAINER (6,0X2,3X2,5M) COM ISOLAMENTO TÉRMICO - ESCRITÓRIO COM AR CONDICIONADO E SANITÁRIO COMPLETO</t>
  </si>
  <si>
    <t>MÊS</t>
  </si>
  <si>
    <t>CONTAINER (6,0X2,3X2,5M) COM ISOLAMENTO TÉRMICO - DEPÓSITO E FERRAMENTARIA COM LAVATÓRIO</t>
  </si>
  <si>
    <t>CONTAINER (6,0X2,3X2,5M) COM ISOLAMENTO TÉRMICO - REFEITÓRIO COMPLETO</t>
  </si>
  <si>
    <t>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t>
  </si>
  <si>
    <t>MOBILIZAÇÃO E DESMOBILIZAÇÃO DE CONTAINER, INCLUSIVE INSTALAÇÃO E TRANSPORTE COM CAMINHÃO GUINDAUTO (MUNCK)</t>
  </si>
  <si>
    <t>EXTINTOR DE CO2 6KG - FORNECIMENTO E INSTALACAO</t>
  </si>
  <si>
    <t>ANDAIME FACHADEIRO</t>
  </si>
  <si>
    <t>ANDAIME FACHADEIRO INCLUSIVE FORRO METALICO</t>
  </si>
  <si>
    <t>M2MES</t>
  </si>
  <si>
    <t>GUARDA CORPO MADEIRA L= 15 CM P/ ANDAIME FACHADEIRO</t>
  </si>
  <si>
    <t>MONTAGEM DE ANDAIME FACHADEIRO</t>
  </si>
  <si>
    <t>DESMONTAGEM DE ANDAIME FACHADEIRO</t>
  </si>
  <si>
    <t>TAXAS ( CREA, CAU, etc)</t>
  </si>
  <si>
    <t>LOCACAO DE ESCORA METALICA TELESCOPICA, COM ALTURA REGULAVEL DE *1,80* A *3,20* M, COM CAPACIDADE DE CARGA DE NO MINIMO 1000 KGF (10 KN), INCLUSO TRIPE E FORCADO</t>
  </si>
  <si>
    <t>Mxmês</t>
  </si>
  <si>
    <t>BARRACÃO CANTEIRO NA PRAÇA JULI, PARA GUARDA  DE MATERIAIS ARTÍSTICOS  E OU RESTAURADOS PARA RE-UTILIZAÇÃO</t>
  </si>
  <si>
    <t>VIGIA PARA HORÁRIO DE INTEGRAL</t>
  </si>
  <si>
    <t>H</t>
  </si>
  <si>
    <t>FORMA E ESCORAMENTO</t>
  </si>
  <si>
    <t>ESCORAMENTO CONTINUO TIPO B</t>
  </si>
  <si>
    <t>FAIXA PLOTADA ADESIVADA PARA SINALIZAÇÃO DE TAPUME</t>
  </si>
  <si>
    <t>1.26</t>
  </si>
  <si>
    <t>LIGAÇÃO PROVISÓRIA DE ÁGUA E ESGOTO PARA CONTAINER (VESTIÁRIO DE OBRA), EXCLUSIVE CHUVEIRO ELÉTRICO</t>
  </si>
  <si>
    <t>EXTINTOR DE INCENDIO PORTATIL COM CARGA DE AGUA PRESSURIZADA DE 10 L, CLASSE A</t>
  </si>
  <si>
    <t>1.28</t>
  </si>
  <si>
    <t>LOCACAO DE TORRE METALICA COMPLETA PARA UMA CARGA DE 8 TF (80 KN)  E PE DIREITO DE 6 M, INCLUINDO MODULOS , DIAGONAIS, SAPATAS E FORCADOS</t>
  </si>
  <si>
    <t>1.29</t>
  </si>
  <si>
    <t>LOCAÇÃO DE ANDAIME DE TUBOS COM TRAVAS DE PRESSÃO DO FORCADO POR PARAFUSOS , PARA MONTAGEM DE ANDAIMES EM BALANÇO, com bandeja de proteção- Aluguel, montagem e desmotagem</t>
  </si>
  <si>
    <t>1.30</t>
  </si>
  <si>
    <t>ESTRUTURA DE ESCORAMENTO TIPO PONTALETEAMENTO</t>
  </si>
  <si>
    <t>m2</t>
  </si>
  <si>
    <t>MUSEU HISTÓRICO AURÉLIO DOLABELLA (SOLAR TEIXEIRA DA COSTA)</t>
  </si>
  <si>
    <t>1.27</t>
  </si>
  <si>
    <t>DEMOLIÇÃO DE PISO CIMENTADO OU CONTRAPISO DE ARGAMASSA ESPESSURA MÁXIMA DE 10CM, INCLUSIVE AFASTAMENTO</t>
  </si>
  <si>
    <t>m3</t>
  </si>
  <si>
    <t>2.2</t>
  </si>
  <si>
    <t>REMOÇÃO CUIDADOSA DE REVESTIMENTO SOBRE PAREDE DE ADOBE, PAU A PIQUE E TIJOLO DE BARRO COZIDO</t>
  </si>
  <si>
    <t>2.3</t>
  </si>
  <si>
    <t>CARGA MANUAL SOBRE CAMINHOES</t>
  </si>
  <si>
    <t>2.4</t>
  </si>
  <si>
    <t>TRANSPORTE DE MAT.DE QUALQUER NATUREZA EM CAÇAMBA</t>
  </si>
  <si>
    <t>CAÇAMBA 5m³</t>
  </si>
  <si>
    <t>VG</t>
  </si>
  <si>
    <t>2.5</t>
  </si>
  <si>
    <t>DESMONTAGEM DE PISO EM  PEDRA  - REAPROVEITAMENTO MEDIANTE REMOÇÃO,  LIMPEZA, ACONDICIONAMENTO  E RECUPERAÇÃO POSTERIOR DO MOSAICO</t>
  </si>
  <si>
    <t>2.6</t>
  </si>
  <si>
    <t>DESMONTAGEM DE PAREDE DE ADOBE PARA LIBERAR ESTEIOS- REAPROVEITAMENTO MEDIANTE REMOÇÃO,  LIMPEZA, ACONDICIONAMENTO  PARA RECUPERAÇÃO POSTERIOR DA PAREDE</t>
  </si>
  <si>
    <t>2.7</t>
  </si>
  <si>
    <t>MAPEAMENTO DESMONTAGEM DE TELHAS  PARA  DIMINUIR PESO NA ESTRUTURA-CALHAS RUFOS E TELHA, RETIRADA DE  CATALOGAÇÃO DA DISTRIBUIÇÃO DAS PEÇAS , ARMAZENAMENTO DE TELHAS E AFINS, TESTES DE RESISTENCIA  REAPROVEITAMENTO MEDIANTE REMOÇÃO,  LIMPEZA, ACONDICIONAMENTO  E RECUPERAÇÃO POSTERIOR DO TELHADO</t>
  </si>
  <si>
    <t>2.8</t>
  </si>
  <si>
    <t>DESMONTAGEM DE FORROS DE ESTEIRA-REAPROVEITAMENTO MEDIANTE REMOÇÃO, LIMPEZA, ACONDICIONAMENTO  E RECUPERAÇÃO POSTERIOR, PODENDO SER GUARDADO EM TIRAS PARA EXPOSIÇÃO</t>
  </si>
  <si>
    <t>2.9</t>
  </si>
  <si>
    <t>MAPEAMENTO DO PORTÃO DA RUA SERRO, REMOÇÃO DAS PEÇAS  , IMUNIZAÇÃO, ACONDICIONAMENTO, RESTAURAÇÃO</t>
  </si>
  <si>
    <t>2.10</t>
  </si>
  <si>
    <t>DEMOLIÇÃO DE PARTE DO MURO JÁ PREVISTO EM PROJETO, PARA LIBERAÇÃO DE ENTRADA DE EQUIPAMENTOS</t>
  </si>
  <si>
    <t>2.11</t>
  </si>
  <si>
    <t>DE REVESTIMENTO ASFALTICO COM EQUIP. PNEUMATICO</t>
  </si>
  <si>
    <t>2.12</t>
  </si>
  <si>
    <t>REMONTAGEM DE PAREDE DE ADOBE</t>
  </si>
  <si>
    <t>TRANSPORTE DE MATERIAL DEMOLIDO EM CARRINHO DE MAO</t>
  </si>
  <si>
    <t>2.13</t>
  </si>
  <si>
    <t>50,0 M &lt; DMT &lt;= 100,0 M</t>
  </si>
  <si>
    <t>3.1</t>
  </si>
  <si>
    <t>DEDETIZAÇÃO POR EMPRESA COM EXPERIENCIA COMPROVADA EM SERVIÇOS DE PRÉDIOS  TOMBADOS COMO PATRIMÔNIO HISTÓRICO</t>
  </si>
  <si>
    <t>3.2</t>
  </si>
  <si>
    <t>DEDETIZAÇÃO  E DESRATIZAÇÃO DE AMBIENTE EXTERNO ( PRAÇA JULI, ONDE FICARÁ O CANTEIRO DE OBRAS E DEPÓSITO DE PEÇA MOVIMENTADAS DO MUSEU PARA RESTAURO E GUARDA PROVISÓRIA)</t>
  </si>
  <si>
    <t>3.3</t>
  </si>
  <si>
    <t>3.4</t>
  </si>
  <si>
    <t>IMUNIZAÇÃO DE FORROS DE TAQUARA TRANÇADA E DE MADEIRA   EM AMBOS OS LADOS , RETIRANDO LIMPEZA INCLUINDO A REGIÃO SUPERIOR POR PASSAGEM NO TELHADO E SEM DESMONTAGEM DO FORRO, INCLUSIVE O DO CORREDOR ( SACADA ) .</t>
  </si>
  <si>
    <t>3.5</t>
  </si>
  <si>
    <t>DESMONTAGEM DE PISOS DE MADEIRA , RETIRANDO LIMPANDO, CATALOGANDO E ARMAZENANDO  .</t>
  </si>
  <si>
    <t>3.6</t>
  </si>
  <si>
    <t>DESMONTAGEM DE ESCADA DE MADEIRA, RETIRANDO LIMPANDO, CATALOGANDO E ARMAZENANDO  .</t>
  </si>
  <si>
    <t>3.7</t>
  </si>
  <si>
    <t>DESMONTAGEM DE LAMBREQUINS, RETIRANDO LIMPANDO, CATALOGANDO E ARMAZENANDO  .</t>
  </si>
  <si>
    <t>3.8</t>
  </si>
  <si>
    <t>Cadastro fotográfico  (DIGITAL)de peças  de madeira a serem desmontadas e retiradas para restauro, etiquetagem e mapeamento da posição e  guarda segura bem acondicionadas, DE TODO O MUSEU</t>
  </si>
  <si>
    <t xml:space="preserve">COBERTURA PROVISÓRIA </t>
  </si>
  <si>
    <t>3.9</t>
  </si>
  <si>
    <t>GRADEADO DE MADEIRA PROVISÓRIO ELEVADO PARA SUSTENTAÇÃO DE LONA CONTRA CHUVAS E DO MADEIRITE DE ENVELOPAMENTO DE FORROS</t>
  </si>
  <si>
    <t>3.10</t>
  </si>
  <si>
    <t xml:space="preserve">LONA PLÁSTICA COBERTURA PROVISÓRIA CONTRA CHUVAS </t>
  </si>
  <si>
    <t>3.11</t>
  </si>
  <si>
    <t xml:space="preserve">FORMA DE MADEIRA  PROTEÇÃO DOS FORROS, PRESOS E SUSTENTADOS NO PISO E NO ENGRADAMENTO DA COBERTURA PROVISÓRIA, INCLUSIVE ESPUMA PARA CALÇAR SUAVEMENTE </t>
  </si>
  <si>
    <t>3.12</t>
  </si>
  <si>
    <t>COBERTURA PARA PROTEÇÃO DE PEDESTRES SOBRE ESTRUTURA DE ANDAIME, INCLUSIVE MONTAGEM E DESMONTAGEM. AF_11/2017</t>
  </si>
  <si>
    <t>3.13</t>
  </si>
  <si>
    <t>TELA DE PROTEÇÃO DE FACHADA INSTALADA EM ANDAIME FACHADEIRO</t>
  </si>
  <si>
    <t>MOVIMENTO DE TERRA</t>
  </si>
  <si>
    <t>ESCAVACAO MANUAL H &lt;= 1.5M</t>
  </si>
  <si>
    <t>ATERRO COMPACTADO</t>
  </si>
  <si>
    <t>MANUAL, COM SOQUETE</t>
  </si>
  <si>
    <t>4.1</t>
  </si>
  <si>
    <t>4.2</t>
  </si>
  <si>
    <t>M³</t>
  </si>
  <si>
    <t>CONCRETO MAGRO, TRAÇO 1:3:6, PREPARADO EM OBRA COM BETONEIRA, SEM FUNÇÃO ESTRUTURAL</t>
  </si>
  <si>
    <t>FORMA, ESCORAMENTO, DESFORMA E LIMPEZA EM FUNDAÇAO</t>
  </si>
  <si>
    <t>DE COMPENSADO RESINADO ESPESSURA MINIMA &gt;= 12MM</t>
  </si>
  <si>
    <t>ARMAÇAO INCL. CORTE, DOBRA E COLOCAÇAO EM FUNDAÇAO</t>
  </si>
  <si>
    <t>AÇO CA-50    D &lt;= 12,5 MM</t>
  </si>
  <si>
    <t>CONCRETO CONVENCIONAL B1,B2 LANÇADO EM FUNDAÇAO</t>
  </si>
  <si>
    <t>FCK &gt;= 25,0 MPa, BRITA CALCAREA</t>
  </si>
  <si>
    <t>ADITIVO IMPERMEABILIZANTE DE PEGA NORMAL PARA ARGAMASSAS E CONCRETOS SEM ARMACAO, LIQUIDO E ISENTO DE CLORETOS</t>
  </si>
  <si>
    <t>MOBILIZAÇÃO E DESMOBILIZAÇÃO POR EQUIPAMENTO DE SONDAGEM A PERCUSSÃO D = 2 1/2"</t>
  </si>
  <si>
    <t>SONDAGEM A PERCUSSÃO D = 2 1/2" COM MEDIDA DE SPT (FATURAMENTO MÍNIMO = 30 M)</t>
  </si>
  <si>
    <t>5.1</t>
  </si>
  <si>
    <t>5.2</t>
  </si>
  <si>
    <t>5.3</t>
  </si>
  <si>
    <t>5.4</t>
  </si>
  <si>
    <t>5.5</t>
  </si>
  <si>
    <t>5.6</t>
  </si>
  <si>
    <t>KG</t>
  </si>
  <si>
    <t>L</t>
  </si>
  <si>
    <t>5.7</t>
  </si>
  <si>
    <t>6.1</t>
  </si>
  <si>
    <t>SUSTENTAÇÃO RÍGIDA DE ESTEIOS COM ESCORAMENTO METÁLICO PARA AMPARAR A ESTRUTURA PERMITINDO A LIBERAÇÃO PARA  SUBSTITUIÇÃO DOS NABOS; RECORTE DE PARTES DANIFICADAS;  SUBSTITUIÇÃO  ESTRUTURAL E ESTÉTICA DE REGIÃO DANIFICADA DO ESTEIO COM ACOMPAMHAMENTO TÉCNICO ESPECIALIZADO</t>
  </si>
  <si>
    <t>6.2</t>
  </si>
  <si>
    <t>CHAPA DE AÇO ESPESSURA 1/2  , " GALVANIZAÇÃO A FOGO PARA FIXAÇÃO E REFORÇO DE ESTEIOS , LIGAÇÃO ENTRE ESTEIOS E VIGAS E FIXAÇÃO MADEIRAS DO DECK( DET PROJETO ESTRUTURAL)</t>
  </si>
  <si>
    <t>6.3</t>
  </si>
  <si>
    <t>PARAFUSO GALVANIZADO ROSCA TOTAL, DIAM 1/2 "</t>
  </si>
  <si>
    <t>6.4</t>
  </si>
  <si>
    <t>PORCA SEXTAVADA GALVANIZADA DIAM 1/2"</t>
  </si>
  <si>
    <t>6.5</t>
  </si>
  <si>
    <t>FORNECIMENTO E APLICAÇÃO DE ENXERTO DE MADEIRA COM ACOMPANHAMENTO TÉCNICO</t>
  </si>
  <si>
    <t>DM3</t>
  </si>
  <si>
    <t>6.6</t>
  </si>
  <si>
    <t xml:space="preserve">ESTEIO OU ESTRUTURA DO TELHADO DE MADEIRA DE LEI, CEDRO , IMBUIA OU EQUIVALENTE TÉCNICO 25x25 X 7,5 m OU DEMAIS SEÇÕES </t>
  </si>
  <si>
    <t>6.7</t>
  </si>
  <si>
    <t>CORDÃO DE SILICONE PARA VEDAÇÃO DE ESTEIO E SAPATA DE CONCRETO</t>
  </si>
  <si>
    <t>6.8</t>
  </si>
  <si>
    <t>imunização peças do telhado  , incluindo a quantidade da planilha de peças de maior seção e o novo engradamento</t>
  </si>
  <si>
    <t>6.9</t>
  </si>
  <si>
    <t>EXECUÇÃO DE PASSEIO (CALÇADA) OU PISO DE CONCRETO COM CONCRETO MOLDADO IN LOCO, FEITO EM OBRA, ACABAMENTO CONVENCIONAL, ESPESSURA 10 CM, ARMADO. AF_07/2016</t>
  </si>
  <si>
    <t>ENGRADAMENTO EM MADEIRA PARAJU</t>
  </si>
  <si>
    <t>6.10</t>
  </si>
  <si>
    <t>PARA COBERTURA CERAMICA, CAIBROS E RIPAS</t>
  </si>
  <si>
    <t>6.11</t>
  </si>
  <si>
    <t>TRATAMENTO DE FISSURAS DE PEÇAS</t>
  </si>
  <si>
    <t>6.12</t>
  </si>
  <si>
    <t>MANTA ISOLANTE PARA TELHADOS</t>
  </si>
  <si>
    <t>6.13</t>
  </si>
  <si>
    <t xml:space="preserve">EMBOCAMENTO ( MASSA REJUNTANDO TELHAS NO FINAL DA CORRIDA DE ÁGUA) E NAS CUMIEIRAS </t>
  </si>
  <si>
    <t>7.1</t>
  </si>
  <si>
    <t>CONFERENCIA DE PEÇAS DE MADEIRA DO TELHADO( TESTE DE RESISTENCIA)  DESCUPINIZAÇÃO.</t>
  </si>
  <si>
    <t>7.2</t>
  </si>
  <si>
    <t>FORNECIMENTO DE COMPLEMENTO DE MADEIRA DO TELHADO COM PEÇAS DE DIMENSÕES E MATERIAL SIMILAR OU IDENTICO, APLICADO CUPINICIDA</t>
  </si>
  <si>
    <t>7.3</t>
  </si>
  <si>
    <t>REFAZIMENTO DO TELHADO COM RETORNO DE TELHAS E AFINS, RECUPERADOS</t>
  </si>
  <si>
    <t>7.4</t>
  </si>
  <si>
    <t>COMPLEMENTAÇÃO COM TELHAS PRODUZIDA ARTEZANALMENTE IGUAIS AS EXISTENTES , COMPLEMENTANDO AS QUE FORAM QUEBRADAS</t>
  </si>
  <si>
    <t>7.5</t>
  </si>
  <si>
    <t>7.6</t>
  </si>
  <si>
    <t>AMARRAÇÃO DE TELHAS CERÂMICAS OU DE CONCRETO. AF_07/2019</t>
  </si>
  <si>
    <t>8.1</t>
  </si>
  <si>
    <t>ARQUITETO SENIOR (MENSALISTA)</t>
  </si>
  <si>
    <t xml:space="preserve">MES </t>
  </si>
  <si>
    <t>8.2</t>
  </si>
  <si>
    <t>ENGENHEIRO CIVIL SENIOR (MENSALISTA)</t>
  </si>
  <si>
    <t>8.3</t>
  </si>
  <si>
    <t>MESTRE DE OBRAS DE RESTAURO</t>
  </si>
  <si>
    <t>8.4</t>
  </si>
  <si>
    <t xml:space="preserve">AS BUILT DE PROJETOS EXECUTADOS </t>
  </si>
  <si>
    <t>8.5</t>
  </si>
  <si>
    <t>8.6</t>
  </si>
  <si>
    <t>LIMPEZA FINAL PARA ENTREGA DA OBRA</t>
  </si>
  <si>
    <t>8.7</t>
  </si>
  <si>
    <t>ESTUDO E LAUDO DE IMPACTO SOBRE A VIZINHANÇA</t>
  </si>
  <si>
    <t>9.1</t>
  </si>
  <si>
    <t>CONFORME ACÓRDÃO TCU 2622/2013, LIMITADA À 5% DO VALOR TOTAL DA OBRA</t>
  </si>
  <si>
    <t>UND</t>
  </si>
  <si>
    <t>LOGO</t>
  </si>
  <si>
    <t>RESTAURARE CONSTRUTORA LTDA</t>
  </si>
  <si>
    <t>154/2021</t>
  </si>
  <si>
    <t>Execução da primeira etapa (reforço estrutural) da obra de restauração do Museu Histórico Aurélio Dolabella, também conhecido como Solar Teixeira da Costa</t>
  </si>
  <si>
    <t>Período</t>
  </si>
  <si>
    <t>Dias</t>
  </si>
  <si>
    <t>Horas/dia</t>
  </si>
  <si>
    <t>Total</t>
  </si>
  <si>
    <t>a</t>
  </si>
  <si>
    <t>Total do Item</t>
  </si>
  <si>
    <t>=</t>
  </si>
  <si>
    <t>ÁREA</t>
  </si>
  <si>
    <t>M²</t>
  </si>
  <si>
    <t>Valor Obra sem Adm. Local</t>
  </si>
  <si>
    <t>-</t>
  </si>
  <si>
    <t>Valor Total dessa Medição sem Adm. Local</t>
  </si>
  <si>
    <t>Quant. Medida</t>
  </si>
  <si>
    <t>÷</t>
  </si>
  <si>
    <t>MESES</t>
  </si>
  <si>
    <t>PRAZO</t>
  </si>
  <si>
    <t>NESTA MEDIÇÃO</t>
  </si>
  <si>
    <t>MEDIDO NA 2ª MEDIÇÃO</t>
  </si>
  <si>
    <t>PRAZO CRONOG.</t>
  </si>
  <si>
    <t>QUANT. P/ MÊS</t>
  </si>
  <si>
    <t>QUANT.TOTAL PLANILHA</t>
  </si>
  <si>
    <t>MEDIDO A MAIS NA 2ª MED.</t>
  </si>
  <si>
    <t>A MEDIR NA 3ª MEDIÇÃO</t>
  </si>
  <si>
    <t>TOTAL ACUMULADO</t>
  </si>
  <si>
    <t>LOCAL</t>
  </si>
  <si>
    <t>LARG.</t>
  </si>
  <si>
    <t>1.31</t>
  </si>
  <si>
    <t>1.32</t>
  </si>
  <si>
    <t>1.33</t>
  </si>
  <si>
    <t>1.34</t>
  </si>
  <si>
    <t>QUANTITATIVO MENSAL A PARTIR DA 4ª MEDIÇÃO</t>
  </si>
  <si>
    <t>M²xMÊS</t>
  </si>
  <si>
    <t>ÁREA REALIZADA E NÃO MEDIDA NA 2ª MEDIÇÃO</t>
  </si>
  <si>
    <t>ÁREA REALIZADA E CONSIDERADA NA 4ª MEDIÇÃO</t>
  </si>
  <si>
    <t>ÁREA REALIZADA E NÃO MEDIDA NA 3ª MEDIÇÃO</t>
  </si>
  <si>
    <t>QUANTITATIVO POR MÊS SIMILAR ITEM 1.15</t>
  </si>
  <si>
    <t>QUANTITATIVO MEDIDO NA 2ª MEDIÇÃO</t>
  </si>
  <si>
    <t>QUANTITATIVO REALIZADO E NÃO MEDIDO NA 3ª MEDIÇÃO</t>
  </si>
  <si>
    <t>QUANTITATIVO REALIZADO NA 4ª MEDIÇÃO</t>
  </si>
  <si>
    <t>METRAGEM PARCIAL</t>
  </si>
  <si>
    <t>DESCONTO MEDIDA A MAIS NA 2ª MEDIÇÃO</t>
  </si>
  <si>
    <t>QUANTITATIVO MEDIDO NA 4ª MEDIÇÃO</t>
  </si>
  <si>
    <r>
      <rPr>
        <b/>
        <sz val="11"/>
        <color rgb="FF00B050"/>
        <rFont val="Arial"/>
        <family val="2"/>
      </rPr>
      <t xml:space="preserve">OBS: </t>
    </r>
    <r>
      <rPr>
        <b/>
        <sz val="10"/>
        <color rgb="FF00B050"/>
        <rFont val="Arial"/>
        <family val="2"/>
      </rPr>
      <t>O REFERIDO ITEM FOI CONSIDERADO NESTE MOMENTO EM VIRTUDE DA NECESSÁRIA LIMPEZA DE TODO O MATERIAL ARMAZENADO AO LONGO DE ANOS SOBRE OS FORROS DE MADEIRA (ARTÍSTICOS) CONFORME APRESENTADO NA MEMÓRIA DE CÁLCULO DA MEDIÇÃO Nº 3. LIMPEZA DAS PEÇAS DE MADEIRA DA COBERTURA EXISTENTE PARA IMUNIZAÇÃO DE TODO O TELHADO E FORROS ARTÍSTICOS.</t>
    </r>
  </si>
  <si>
    <t>COMPR.</t>
  </si>
  <si>
    <t>ALTURA</t>
  </si>
  <si>
    <t>VOLUME</t>
  </si>
  <si>
    <t>BARRACÃO DE OBRA PARA ESCRITÓRIO DA FISCALIZAÇÃO TIPO-I, ÁREA INTERNA 18,15M2, EM CHAPA DE COMPENSADO RESINADO, INCLUSIVE MOBILIÁRIO (OBRA DE PEQUENO A MÉDIO PORTE, EFETIVO ATÉ 60 HOMENS) - PADRÃO DEER-MG</t>
  </si>
  <si>
    <t xml:space="preserve">UN </t>
  </si>
  <si>
    <t>BARRACÃO DE OBRA PARA ESCRITÓRIO DA EMPREITEIRA TIPO-I, ÁREA INTERNA 18,15M2, EM CHAPA DE COMPENSADO RESINADO, INCLUSIVE MOBILIÁRIO (OBRA DE PEQUENO A MÉDIO PORTE, EFETIVO ATÉ 60 HOMENS) - PADRÃO DEER-MG</t>
  </si>
  <si>
    <t>EXECUÇÃO DE ALMOXARIFADO EM CANTEIRO DE OBRA EM CHAPA DE MADEIRA COMPENSADA, INCLUSO PRATELEIRAS. AF_02/2016</t>
  </si>
  <si>
    <t>m²</t>
  </si>
  <si>
    <t>EXECUÇÃO DE REFEITÓRIO EM CANTEIRO DE OBRA EM CHAPA DE MADEIRA COMPENSADA, NÃO INCLUSO MOBILIÁRIO E EQUIPAMENTOS. AF_02/2016</t>
  </si>
  <si>
    <t>BARRACÃO DE OBRA PARA INSTALAÇÃO SANITÁRIA TIPO-I, ÁREA INTERNA 14,52M2, EM CHAPA DE COMPENSADO RESINADO (OBRA DE PEQUENO PORTE, EFETIVO ATÉ 30 HOMENS), PADRÃO DEER-MG</t>
  </si>
  <si>
    <t>AJUSTE PARA A 3ª MEDIÇÃO</t>
  </si>
  <si>
    <t>ÁREA  DESMONTADA E MEDIDA NA 4ª MEDIÇÃO</t>
  </si>
  <si>
    <t>LARG</t>
  </si>
  <si>
    <t>PROTEÇÃO DE PISO COM LONA PLASTICA, SACO DE RÁFIA E GESSO</t>
  </si>
  <si>
    <t>ÁREA TOTAL A MEDIR NA 6ª MEDIÇÃO</t>
  </si>
  <si>
    <t>ÁREA TOTAL A MEDIR A PARTIR DA 5ª MEDIÇÃO</t>
  </si>
  <si>
    <t>ACUMULADO NA MEDIÇÃO ANTERIOR</t>
  </si>
  <si>
    <t>ACUMULADO NA MEDIÇÃO ATUAL</t>
  </si>
  <si>
    <t>QUANTIDADE DE PROJETO</t>
  </si>
  <si>
    <t>SALDO CONTRATUAL</t>
  </si>
  <si>
    <t>ÁREA A MEDIR A PARTIR DA 5ª MEDIÇÃO</t>
  </si>
  <si>
    <t>QUANTITATIVO A MEDIR A PARTIR DA 5ª MEDIÇÃO</t>
  </si>
  <si>
    <t>ESTEIO</t>
  </si>
  <si>
    <t>MEDIÇÃO</t>
  </si>
  <si>
    <t>COMPRIMENTO</t>
  </si>
  <si>
    <t>QUANT</t>
  </si>
  <si>
    <t>VOLUME M³</t>
  </si>
  <si>
    <t>% AFERIDO (M³)</t>
  </si>
  <si>
    <t>TOTAL (M³)</t>
  </si>
  <si>
    <t>TOTAL (DM³)</t>
  </si>
  <si>
    <t>RELATÓRIO FOTOGRÁFICO</t>
  </si>
  <si>
    <t>FOTO</t>
  </si>
  <si>
    <t>Foto. 1:</t>
  </si>
  <si>
    <t>Foto. 2:</t>
  </si>
  <si>
    <t>Foto. 3:</t>
  </si>
  <si>
    <t>Foto. 4:</t>
  </si>
  <si>
    <t>Foto. 5:</t>
  </si>
  <si>
    <t>Foto. 6:</t>
  </si>
  <si>
    <t>Foto. 7:</t>
  </si>
  <si>
    <t>Foto. 8:</t>
  </si>
  <si>
    <t>Foto. 09:</t>
  </si>
  <si>
    <t>Foto. 10:</t>
  </si>
  <si>
    <t>Foto. 11:</t>
  </si>
  <si>
    <t>Foto. 12:</t>
  </si>
  <si>
    <t>Foto. 13:</t>
  </si>
  <si>
    <t>Foto. 14:</t>
  </si>
  <si>
    <t>Foto. 15:</t>
  </si>
  <si>
    <t>Foto. 16:</t>
  </si>
  <si>
    <t>Foto. 17:</t>
  </si>
  <si>
    <t>Foto. 18:</t>
  </si>
  <si>
    <t>Foto. 19:</t>
  </si>
  <si>
    <t>Foto. 20:</t>
  </si>
  <si>
    <t>Foto. 21:</t>
  </si>
  <si>
    <t>Foto. 22:</t>
  </si>
  <si>
    <t>Foto. 23:</t>
  </si>
  <si>
    <t>Foto. 24:</t>
  </si>
  <si>
    <t>Execução da primeira etapa (reforço estrutural) da obra de restauração do Museu Histórico Aurélio Dolabella</t>
  </si>
  <si>
    <t>ÁREA TOTAL A MEDIR NA 7ª MEDIÇÃO</t>
  </si>
  <si>
    <t>VOLUME TRANSPORTADO POR CAÇAMBA</t>
  </si>
  <si>
    <t>ITEM 2.3 CARGA MANUAL SOBRE CAMINHÕES</t>
  </si>
  <si>
    <t>UND.</t>
  </si>
  <si>
    <t>QUANTITATIVOS NÃO MEDIDOS POR SALDO CONTRATUAL INSUFICIENTE A SEREM CONSIDERADOS EM ADITIVO</t>
  </si>
  <si>
    <t>COMPR</t>
  </si>
  <si>
    <t>Período a ser corrigido</t>
  </si>
  <si>
    <t>Observações</t>
  </si>
  <si>
    <t>Mês fechado</t>
  </si>
  <si>
    <t>Período medição</t>
  </si>
  <si>
    <t>Saldo</t>
  </si>
  <si>
    <t>Saldo (dias de presença)</t>
  </si>
  <si>
    <t>Saldo a ser medido</t>
  </si>
  <si>
    <t>% Mês</t>
  </si>
  <si>
    <t>TROCA DE CALHAS E RUFOS NÃO SERVÍVEIS ( RISCO DE VAZAMENTOS FUTUROS)</t>
  </si>
  <si>
    <t>ÁREA TOTAL A MEDIR NA 8ª MEDIÇÃO</t>
  </si>
  <si>
    <t>TELHAS QUEBRADAS E MADEIRAMENTO DO TELHADO</t>
  </si>
  <si>
    <t>EXCEDENTE DE MATERIAL ESCAVADO DOS ESTEIOS</t>
  </si>
  <si>
    <t>PROF.</t>
  </si>
  <si>
    <t>TAPUME _LATERAL OESTE (LATERAL ESQUERDA)</t>
  </si>
  <si>
    <t>LARGURA</t>
  </si>
  <si>
    <t>CHAPAS</t>
  </si>
  <si>
    <t>LOCAIS</t>
  </si>
  <si>
    <t>MEDIDA</t>
  </si>
  <si>
    <t>ÁREA TOTAL A MEDIR NA 9ª MEDIÇÃO</t>
  </si>
  <si>
    <t>ÁREA (M²)</t>
  </si>
  <si>
    <r>
      <t xml:space="preserve">OBS: DEVIDO AO SALDO CONTRATUAL SER INSUFICIENTE SERÁ MEDIDO NO ADITIVO, ASSIM QUE AUTORIZADO, O QUANTITATIVO DE </t>
    </r>
    <r>
      <rPr>
        <b/>
        <sz val="14"/>
        <color rgb="FFFF0000"/>
        <rFont val="Arial"/>
        <family val="2"/>
      </rPr>
      <t>11,93 M²</t>
    </r>
  </si>
  <si>
    <t>PLANO</t>
  </si>
  <si>
    <t>% INCL.</t>
  </si>
  <si>
    <t>BASE</t>
  </si>
  <si>
    <t>SAPATA</t>
  </si>
  <si>
    <t>PESCOÇO</t>
  </si>
  <si>
    <t>TOTAL 1</t>
  </si>
  <si>
    <t>TOTAL 2</t>
  </si>
  <si>
    <t>TOTAL 1 + 2</t>
  </si>
  <si>
    <t>SAPATA (10.0 MM)</t>
  </si>
  <si>
    <t>PESCOÇO (12,5 MM)</t>
  </si>
  <si>
    <t>KG/M</t>
  </si>
  <si>
    <t>Peso</t>
  </si>
  <si>
    <t>PROPORÇÃO</t>
  </si>
  <si>
    <t>L/M²</t>
  </si>
  <si>
    <t>UTILIZADO</t>
  </si>
  <si>
    <t>x</t>
  </si>
  <si>
    <t>PEÇA</t>
  </si>
  <si>
    <t>PRÍMETRO</t>
  </si>
  <si>
    <t>OBS</t>
  </si>
  <si>
    <t>PEÇA RETA</t>
  </si>
  <si>
    <t>ÁREA COM 2 FACES</t>
  </si>
  <si>
    <t>26/07/22 a 25/08/22</t>
  </si>
  <si>
    <t>10ª MEDIÇÃO</t>
  </si>
  <si>
    <t>QUANTITATIVO MENSAL PARA A 10ª MEDIÇÃO</t>
  </si>
  <si>
    <r>
      <t xml:space="preserve">OBS: DEVIDO AO ESGOTAMENTO DO SALDO CONTRATUAL, SERÁ CONSIDERADO NESTA MEDIÇÃO O QUANTITATIVO DE </t>
    </r>
    <r>
      <rPr>
        <b/>
        <sz val="12"/>
        <color theme="1"/>
        <rFont val="Arial"/>
        <family val="2"/>
      </rPr>
      <t>8,69 M²</t>
    </r>
    <r>
      <rPr>
        <b/>
        <sz val="10"/>
        <color rgb="FF00B0F0"/>
        <rFont val="Arial"/>
        <family val="2"/>
      </rPr>
      <t xml:space="preserve"> FICANDO O SALDO DE </t>
    </r>
    <r>
      <rPr>
        <b/>
        <sz val="12"/>
        <color rgb="FFFF0000"/>
        <rFont val="Arial"/>
        <family val="2"/>
      </rPr>
      <t>118,75 M²</t>
    </r>
    <r>
      <rPr>
        <b/>
        <sz val="10"/>
        <color rgb="FF00B0F0"/>
        <rFont val="Arial"/>
        <family val="2"/>
      </rPr>
      <t xml:space="preserve"> A SER MEDIDO QUANDO DA LIBERAÇÃO DO ADITIVO JÁ SOLICITADO.</t>
    </r>
  </si>
  <si>
    <t>ÁREA TOTAL A MEDIR NA 10ª MEDIÇÃO</t>
  </si>
  <si>
    <r>
      <t xml:space="preserve">OBS: DEVIDO AO ESGOTAMENTO DO SALDO CONTRATUAL, NÃO SERÁ CONSIDERADO NESTA MEDIÇÃO NENHUM QUANTITATIVO FICANDO O SALDO DE </t>
    </r>
    <r>
      <rPr>
        <b/>
        <sz val="10"/>
        <color rgb="FFFF0000"/>
        <rFont val="Arial"/>
        <family val="2"/>
      </rPr>
      <t>0,31 M² (MEDIÇÃO 9) + 127,44 M² (MEDIÇÃO10)</t>
    </r>
    <r>
      <rPr>
        <b/>
        <sz val="10"/>
        <color rgb="FF00B0F0"/>
        <rFont val="Arial"/>
        <family val="2"/>
      </rPr>
      <t xml:space="preserve">, TOTALIZANDO </t>
    </r>
    <r>
      <rPr>
        <b/>
        <sz val="12"/>
        <color rgb="FFFF0000"/>
        <rFont val="Arial"/>
        <family val="2"/>
      </rPr>
      <t>127,75 M²</t>
    </r>
    <r>
      <rPr>
        <b/>
        <sz val="10"/>
        <color rgb="FF00B0F0"/>
        <rFont val="Arial"/>
        <family val="2"/>
      </rPr>
      <t xml:space="preserve"> A SEREM MEDIDOS QUANDO DA LIBERAÇÃO DO ADITIVO JÁ SOLICITADO.</t>
    </r>
  </si>
  <si>
    <t>QUANTITATIVO A MEDIR NA 10ª MEDIÇÃO</t>
  </si>
  <si>
    <r>
      <t xml:space="preserve">OBS: DEVIDO AO ESGOTAMENTO DO SALDO CONTRATUAL, NÃO SERÁ CONSIDERADO NESTA MEDIÇÃO NENHUM QUANTITATIVO FICANDO O SALDO DE </t>
    </r>
    <r>
      <rPr>
        <b/>
        <sz val="10"/>
        <color rgb="FFFF0000"/>
        <rFont val="Arial"/>
        <family val="2"/>
      </rPr>
      <t>17,54 M² (MEDIÇÃO 9) + 133,33 M² (MEDIÇÃO 10)</t>
    </r>
    <r>
      <rPr>
        <b/>
        <sz val="10"/>
        <color rgb="FF00B0F0"/>
        <rFont val="Arial"/>
        <family val="2"/>
      </rPr>
      <t xml:space="preserve">,TOTALIZANDO </t>
    </r>
    <r>
      <rPr>
        <b/>
        <sz val="14"/>
        <color rgb="FFFF0000"/>
        <rFont val="Arial"/>
        <family val="2"/>
      </rPr>
      <t>150,87 M²</t>
    </r>
    <r>
      <rPr>
        <b/>
        <sz val="10"/>
        <color rgb="FF00B0F0"/>
        <rFont val="Arial"/>
        <family val="2"/>
      </rPr>
      <t xml:space="preserve"> A SEREM MEDIDOS QUANDO DA LIBERAÇÃO DO ADITIVO JÁ SOLICITADO.</t>
    </r>
  </si>
  <si>
    <r>
      <t xml:space="preserve">OBS: DEVIDO AO ESGOTAMENTO DO SALDO CONTRATUAL, NÃO SERÁ CONSIDERADO NENHUM QUANTITATIVO NESTA MEDIÇÃO FICANDO O SALDO DE </t>
    </r>
    <r>
      <rPr>
        <b/>
        <sz val="9"/>
        <color rgb="FFFF0000"/>
        <rFont val="Arial"/>
        <family val="2"/>
      </rPr>
      <t>144,00 HORAS (MEDIÇÃO 9) + 372 HORAS (MEDIÇÃO 10)</t>
    </r>
    <r>
      <rPr>
        <b/>
        <sz val="9"/>
        <color rgb="FF00B0F0"/>
        <rFont val="Arial"/>
        <family val="2"/>
      </rPr>
      <t xml:space="preserve">, TOTALIZANDO </t>
    </r>
    <r>
      <rPr>
        <b/>
        <sz val="12"/>
        <color rgb="FFFF0000"/>
        <rFont val="Arial"/>
        <family val="2"/>
      </rPr>
      <t>516,00 HORAS</t>
    </r>
    <r>
      <rPr>
        <b/>
        <sz val="9"/>
        <color rgb="FF00B0F0"/>
        <rFont val="Arial"/>
        <family val="2"/>
      </rPr>
      <t xml:space="preserve"> A SEREM MEDIDAS QUANDO DA LIBERAÇÃO DO ADITIVO JÁ SOLICITADO.</t>
    </r>
  </si>
  <si>
    <t>E1</t>
  </si>
  <si>
    <t>E10</t>
  </si>
  <si>
    <t>E11</t>
  </si>
  <si>
    <t>E2</t>
  </si>
  <si>
    <t>BURRO P2</t>
  </si>
  <si>
    <t>ESTEIO E1</t>
  </si>
  <si>
    <t>ESTEIO E2</t>
  </si>
  <si>
    <t>ESTEIO E10</t>
  </si>
  <si>
    <t>ESTEIO E11</t>
  </si>
  <si>
    <t>BURRINHO P2</t>
  </si>
  <si>
    <r>
      <t xml:space="preserve">OBS: DEVIDO AO ESGOTAMENTO DO SALDO CONTRATUAL O QUANTITATIVO DE </t>
    </r>
    <r>
      <rPr>
        <b/>
        <sz val="10"/>
        <color rgb="FFFF0000"/>
        <rFont val="Arial"/>
        <family val="2"/>
      </rPr>
      <t>63,71 M² (8ª MEDIÇÃO) + 73,39 M² (MEDIÇÃO 9) + 58,48 M² (MEDIÇÃO 10)</t>
    </r>
    <r>
      <rPr>
        <b/>
        <sz val="10"/>
        <color rgb="FF00B0F0"/>
        <rFont val="Arial"/>
        <family val="2"/>
      </rPr>
      <t xml:space="preserve">, TOTALIZANDO ASSIM O MONTANTE DE </t>
    </r>
    <r>
      <rPr>
        <b/>
        <sz val="14"/>
        <color rgb="FFFF0000"/>
        <rFont val="Arial"/>
        <family val="2"/>
      </rPr>
      <t>195,58 M²</t>
    </r>
    <r>
      <rPr>
        <b/>
        <sz val="10"/>
        <color rgb="FF00B0F0"/>
        <rFont val="Arial"/>
        <family val="2"/>
      </rPr>
      <t xml:space="preserve"> A SEREM MEDIDOS QUANDO APROVADO O REFERIDO ADITIVO.</t>
    </r>
  </si>
  <si>
    <t>DEMOLIÇÃO DE MURO EXISTENTE</t>
  </si>
  <si>
    <t>AMBIENTE 11</t>
  </si>
  <si>
    <t>AMBIENTE 12</t>
  </si>
  <si>
    <r>
      <t xml:space="preserve">OBS: DEVIDO AO SALDO INSUFICIENTE DE CONTRATO TEM-SE EM ABERTO O SALDO DE </t>
    </r>
    <r>
      <rPr>
        <b/>
        <sz val="10"/>
        <color rgb="FFFF0000"/>
        <rFont val="Arial"/>
        <family val="2"/>
      </rPr>
      <t>12,18 M²</t>
    </r>
    <r>
      <rPr>
        <b/>
        <sz val="10"/>
        <color rgb="FF00B0F0"/>
        <rFont val="Arial"/>
        <family val="2"/>
      </rPr>
      <t xml:space="preserve"> E MAIS O QUANTITATIVO REALIZADO E AFERIDO NA </t>
    </r>
    <r>
      <rPr>
        <b/>
        <sz val="10"/>
        <color rgb="FFFF0000"/>
        <rFont val="Arial"/>
        <family val="2"/>
      </rPr>
      <t>MEDIÇÃO 10 DE 40,02 M²</t>
    </r>
    <r>
      <rPr>
        <b/>
        <sz val="10"/>
        <color rgb="FF00B0F0"/>
        <rFont val="Arial"/>
        <family val="2"/>
      </rPr>
      <t xml:space="preserve"> TOTALIZANDO ASSIM O SALDO DE </t>
    </r>
    <r>
      <rPr>
        <b/>
        <sz val="14"/>
        <color rgb="FFFF0000"/>
        <rFont val="Arial"/>
        <family val="2"/>
      </rPr>
      <t>52,20 M²</t>
    </r>
    <r>
      <rPr>
        <b/>
        <sz val="10"/>
        <color rgb="FF00B0F0"/>
        <rFont val="Arial"/>
        <family val="2"/>
      </rPr>
      <t xml:space="preserve"> A SER MEDIDO QUANDO APROVADO O ADITIVO.</t>
    </r>
  </si>
  <si>
    <r>
      <t>OBS: QUANTITATIVO NÃO MEDIDO NA</t>
    </r>
    <r>
      <rPr>
        <b/>
        <sz val="9"/>
        <color rgb="FFFF0000"/>
        <rFont val="Arial"/>
        <family val="2"/>
      </rPr>
      <t xml:space="preserve"> MEDIÇÃO 6 </t>
    </r>
    <r>
      <rPr>
        <b/>
        <sz val="9"/>
        <color rgb="FF00B0F0"/>
        <rFont val="Arial"/>
        <family val="2"/>
      </rPr>
      <t>DEVIDO AO SALDO CONTRATUAL INSIFICIENTE =</t>
    </r>
    <r>
      <rPr>
        <b/>
        <sz val="9"/>
        <color theme="1"/>
        <rFont val="Arial"/>
        <family val="2"/>
      </rPr>
      <t xml:space="preserve"> </t>
    </r>
    <r>
      <rPr>
        <b/>
        <sz val="9"/>
        <color rgb="FFFF0000"/>
        <rFont val="Arial"/>
        <family val="2"/>
      </rPr>
      <t>6,12 M³</t>
    </r>
    <r>
      <rPr>
        <b/>
        <sz val="9"/>
        <color rgb="FF00B0F0"/>
        <rFont val="Arial"/>
        <family val="2"/>
      </rPr>
      <t xml:space="preserve">. QUANTITATIVO NÃO MEDIDO NA </t>
    </r>
    <r>
      <rPr>
        <b/>
        <sz val="9"/>
        <color rgb="FFFF0000"/>
        <rFont val="Arial"/>
        <family val="2"/>
      </rPr>
      <t>MEDIÇÃO 7</t>
    </r>
    <r>
      <rPr>
        <b/>
        <sz val="9"/>
        <color rgb="FF00B0F0"/>
        <rFont val="Arial"/>
        <family val="2"/>
      </rPr>
      <t xml:space="preserve"> DEVIDO AO SALDO CONTRATUAL INSIFICIENTE = </t>
    </r>
    <r>
      <rPr>
        <b/>
        <sz val="9"/>
        <color rgb="FFFF0000"/>
        <rFont val="Arial"/>
        <family val="2"/>
      </rPr>
      <t>23,66 M³</t>
    </r>
    <r>
      <rPr>
        <b/>
        <sz val="9"/>
        <color rgb="FF00B0F0"/>
        <rFont val="Arial"/>
        <family val="2"/>
      </rPr>
      <t xml:space="preserve">. QUANTITATIVO NÃO MEDIDO NA </t>
    </r>
    <r>
      <rPr>
        <b/>
        <sz val="9"/>
        <color rgb="FFFF0000"/>
        <rFont val="Arial"/>
        <family val="2"/>
      </rPr>
      <t>MEDIÇÃO 9</t>
    </r>
    <r>
      <rPr>
        <b/>
        <sz val="9"/>
        <color rgb="FF00B0F0"/>
        <rFont val="Arial"/>
        <family val="2"/>
      </rPr>
      <t xml:space="preserve"> DEVIDO AO SALDO CONTRATUAL INSIFICIENTE = </t>
    </r>
    <r>
      <rPr>
        <b/>
        <sz val="9"/>
        <color rgb="FFFF0000"/>
        <rFont val="Arial"/>
        <family val="2"/>
      </rPr>
      <t>23,15 M³</t>
    </r>
    <r>
      <rPr>
        <b/>
        <sz val="9"/>
        <color rgb="FF00B0F0"/>
        <rFont val="Arial"/>
        <family val="2"/>
      </rPr>
      <t xml:space="preserve"> . QUANTITATIVO NÃO MEDIDO NA </t>
    </r>
    <r>
      <rPr>
        <b/>
        <sz val="9"/>
        <color rgb="FFFF0000"/>
        <rFont val="Arial"/>
        <family val="2"/>
      </rPr>
      <t>MEDIÇÃO 10</t>
    </r>
    <r>
      <rPr>
        <b/>
        <sz val="9"/>
        <color rgb="FF00B0F0"/>
        <rFont val="Arial"/>
        <family val="2"/>
      </rPr>
      <t xml:space="preserve"> DEVIDO AO SALDO CONTRATUAL INSIFICIENTE = </t>
    </r>
    <r>
      <rPr>
        <b/>
        <sz val="9"/>
        <color rgb="FFFF0000"/>
        <rFont val="Arial"/>
        <family val="2"/>
      </rPr>
      <t>17,74 M³</t>
    </r>
    <r>
      <rPr>
        <b/>
        <sz val="9"/>
        <color rgb="FF00B0F0"/>
        <rFont val="Arial"/>
        <family val="2"/>
      </rPr>
      <t xml:space="preserve">. TOTAL A SER CONSIDERADO EM </t>
    </r>
    <r>
      <rPr>
        <b/>
        <sz val="14"/>
        <color rgb="FFFF0000"/>
        <rFont val="Arial"/>
        <family val="2"/>
      </rPr>
      <t>ADITIVO = 70,67 M³</t>
    </r>
  </si>
  <si>
    <r>
      <t xml:space="preserve">OBS: DEVIDO AO SALDO CONTRATUAL INSUFICIENTE, NÃO ESTARÁ SENDO CONSIDERADO NESTA MEDIÇÃO NENHUM VALOR ONDE SERÁ SOMADO  AO SALDO DE </t>
    </r>
    <r>
      <rPr>
        <b/>
        <sz val="10"/>
        <color rgb="FFFF0000"/>
        <rFont val="Arial"/>
        <family val="2"/>
      </rPr>
      <t>24,80 M³ (VIDE 8ª MEDIÇÃO)</t>
    </r>
    <r>
      <rPr>
        <b/>
        <sz val="10"/>
        <color rgb="FF00B0F0"/>
        <rFont val="Arial"/>
        <family val="2"/>
      </rPr>
      <t xml:space="preserve"> O VOLUME DE </t>
    </r>
    <r>
      <rPr>
        <b/>
        <sz val="10"/>
        <color rgb="FFFF0000"/>
        <rFont val="Arial"/>
        <family val="2"/>
      </rPr>
      <t>21,15 M³ (VIDE 9ª MEDIÇÃO)</t>
    </r>
    <r>
      <rPr>
        <b/>
        <sz val="10"/>
        <color rgb="FF00B0F0"/>
        <rFont val="Arial"/>
        <family val="2"/>
      </rPr>
      <t xml:space="preserve">, O VOLUME DE </t>
    </r>
    <r>
      <rPr>
        <b/>
        <sz val="10"/>
        <color rgb="FFFF0000"/>
        <rFont val="Arial"/>
        <family val="2"/>
      </rPr>
      <t>16,51 M³ (VIDE 10ª MEDIÇÃO)</t>
    </r>
    <r>
      <rPr>
        <b/>
        <sz val="10"/>
        <color rgb="FF00B0F0"/>
        <rFont val="Arial"/>
        <family val="2"/>
      </rPr>
      <t xml:space="preserve"> GERANDO ASSIM UM TOTAL DE</t>
    </r>
    <r>
      <rPr>
        <b/>
        <sz val="14"/>
        <color rgb="FFFF0000"/>
        <rFont val="Arial"/>
        <family val="2"/>
      </rPr>
      <t xml:space="preserve"> 62,46 M³</t>
    </r>
    <r>
      <rPr>
        <b/>
        <sz val="10"/>
        <color rgb="FF00B0F0"/>
        <rFont val="Arial"/>
        <family val="2"/>
      </rPr>
      <t xml:space="preserve"> A SER CONSIDERADO EM ADITIVO</t>
    </r>
  </si>
  <si>
    <r>
      <t>OBS 2: ÁREA DE</t>
    </r>
    <r>
      <rPr>
        <b/>
        <sz val="10"/>
        <rFont val="Arial"/>
        <family val="2"/>
      </rPr>
      <t xml:space="preserve"> </t>
    </r>
    <r>
      <rPr>
        <b/>
        <sz val="14"/>
        <color rgb="FFFF0000"/>
        <rFont val="Arial"/>
        <family val="2"/>
      </rPr>
      <t>133,17 M²</t>
    </r>
    <r>
      <rPr>
        <b/>
        <sz val="10"/>
        <color rgb="FF00B0F0"/>
        <rFont val="Arial"/>
        <family val="2"/>
      </rPr>
      <t xml:space="preserve"> (</t>
    </r>
    <r>
      <rPr>
        <b/>
        <sz val="10"/>
        <color rgb="FFFF0000"/>
        <rFont val="Arial"/>
        <family val="2"/>
      </rPr>
      <t>MEDIÇÃO 5 = 41,98 M²,</t>
    </r>
    <r>
      <rPr>
        <b/>
        <sz val="10"/>
        <color rgb="FF00B0F0"/>
        <rFont val="Arial"/>
        <family val="2"/>
      </rPr>
      <t xml:space="preserve"> </t>
    </r>
    <r>
      <rPr>
        <b/>
        <sz val="10"/>
        <color rgb="FFFF0000"/>
        <rFont val="Arial"/>
        <family val="2"/>
      </rPr>
      <t>MEDIÇÃO 6 =</t>
    </r>
    <r>
      <rPr>
        <b/>
        <sz val="10"/>
        <color rgb="FF00B0F0"/>
        <rFont val="Arial"/>
        <family val="2"/>
      </rPr>
      <t xml:space="preserve"> </t>
    </r>
    <r>
      <rPr>
        <b/>
        <sz val="10"/>
        <color rgb="FFFF0000"/>
        <rFont val="Arial"/>
        <family val="2"/>
      </rPr>
      <t>21,32 M², MEDIÇÃO 7 = 24,40 M², MEDIÇÃO 9 = 25,17 M², MEDIÇÃO 10 = 20,30 M²</t>
    </r>
    <r>
      <rPr>
        <b/>
        <sz val="10"/>
        <color rgb="FF00B0F0"/>
        <rFont val="Arial"/>
        <family val="2"/>
      </rPr>
      <t>) NÃO PODERÁ SER MEDIDA DEVIDO INSUFICIÊNCIA DE SALDO. MONTANTE SERÁ MEDIDO ASSIM QUE APROVADO O ADITIVO</t>
    </r>
  </si>
  <si>
    <r>
      <rPr>
        <b/>
        <sz val="10"/>
        <color rgb="FF00B0F0"/>
        <rFont val="Arial"/>
        <family val="2"/>
      </rPr>
      <t xml:space="preserve">OBS: DEVIDO AO SALDO CONTRATUAL SER INSUFICIENTE SERÁ MEDIDO NO ADITIVO, ASSIM QUE AUTORIZADO, O QUANTITATIVO DE </t>
    </r>
    <r>
      <rPr>
        <b/>
        <sz val="10"/>
        <color rgb="FFFF0000"/>
        <rFont val="Arial"/>
        <family val="2"/>
      </rPr>
      <t>0,75 M³ (SALDO DA 8ª MEDIÇÃO) + 3,60 M³ (MEDIÇÃO 9) + 2,92 M³ (MEDIÇÃO 10)</t>
    </r>
    <r>
      <rPr>
        <b/>
        <sz val="10"/>
        <color rgb="FF00B0F0"/>
        <rFont val="Arial"/>
        <family val="2"/>
      </rPr>
      <t xml:space="preserve">, TOTALIZANDO ASSIM </t>
    </r>
    <r>
      <rPr>
        <b/>
        <sz val="14"/>
        <color rgb="FFFF0000"/>
        <rFont val="Arial"/>
        <family val="2"/>
      </rPr>
      <t>7,27 M³</t>
    </r>
    <r>
      <rPr>
        <b/>
        <sz val="10"/>
        <color rgb="FF00B0F0"/>
        <rFont val="Arial"/>
        <family val="2"/>
      </rPr>
      <t>.</t>
    </r>
  </si>
  <si>
    <t>ESTEIOS:</t>
  </si>
  <si>
    <t>E1, E2, E10, E11, BURRINHO PORÃO P2</t>
  </si>
  <si>
    <t>UNIDADES</t>
  </si>
  <si>
    <r>
      <t xml:space="preserve">OBS: DEVIDO AO SALDO CONTRATUAL INSUFICIENTE SERÁ MEDIDO NO ADITIVO, ASSIM QUE AUTORIZADO, O QUANTITATIVO DE </t>
    </r>
    <r>
      <rPr>
        <b/>
        <sz val="14"/>
        <color rgb="FFFF0000"/>
        <rFont val="Arial"/>
        <family val="2"/>
      </rPr>
      <t>5 UNIDADES</t>
    </r>
    <r>
      <rPr>
        <b/>
        <sz val="10"/>
        <color rgb="FF00B0F0"/>
        <rFont val="Arial"/>
        <family val="2"/>
      </rPr>
      <t xml:space="preserve"> CONFORME MEDIÇÃO 10</t>
    </r>
  </si>
  <si>
    <t>VARANDA LAT. DIREITA</t>
  </si>
  <si>
    <t>BURRINHO DO PORAÕ P2</t>
  </si>
  <si>
    <r>
      <t xml:space="preserve">OBS: DEVIDO AO SALDO CONTRATUAL INSUFICIENTE RESTOU O SALDO DE </t>
    </r>
    <r>
      <rPr>
        <b/>
        <sz val="12"/>
        <color rgb="FFFF0000"/>
        <rFont val="Arial"/>
        <family val="2"/>
      </rPr>
      <t>1.160,51 DM³</t>
    </r>
    <r>
      <rPr>
        <b/>
        <sz val="9"/>
        <color rgb="FFFF0000"/>
        <rFont val="Arial"/>
        <family val="2"/>
      </rPr>
      <t xml:space="preserve"> NÃO MEDIDO NA MEDIÇÃO 8</t>
    </r>
    <r>
      <rPr>
        <b/>
        <sz val="9"/>
        <color rgb="FF00B0F0"/>
        <rFont val="Arial"/>
        <family val="2"/>
      </rPr>
      <t xml:space="preserve"> + O QUANTITATIVO DE </t>
    </r>
    <r>
      <rPr>
        <b/>
        <sz val="12"/>
        <color rgb="FFFF0000"/>
        <rFont val="Arial"/>
        <family val="2"/>
      </rPr>
      <t>1.515,89 DM³</t>
    </r>
    <r>
      <rPr>
        <b/>
        <sz val="9"/>
        <color rgb="FFFF0000"/>
        <rFont val="Arial"/>
        <family val="2"/>
      </rPr>
      <t xml:space="preserve"> REALIZADO NA MEDIÇÃO 9</t>
    </r>
    <r>
      <rPr>
        <b/>
        <sz val="9"/>
        <color rgb="FF00B0F0"/>
        <rFont val="Arial"/>
        <family val="2"/>
      </rPr>
      <t xml:space="preserve"> + O QUANTITATIVO DE</t>
    </r>
    <r>
      <rPr>
        <b/>
        <sz val="9"/>
        <color rgb="FFFF0000"/>
        <rFont val="Arial"/>
        <family val="2"/>
      </rPr>
      <t xml:space="preserve"> 827,57 DM³ REALIZADO NA MEDIÇÃO 10</t>
    </r>
    <r>
      <rPr>
        <b/>
        <sz val="9"/>
        <color rgb="FF00B0F0"/>
        <rFont val="Arial"/>
        <family val="2"/>
      </rPr>
      <t xml:space="preserve">, TOTALIZANDO O QUANTITATIVO DE </t>
    </r>
    <r>
      <rPr>
        <b/>
        <sz val="14"/>
        <color rgb="FFFF0000"/>
        <rFont val="Arial"/>
        <family val="2"/>
      </rPr>
      <t xml:space="preserve">3.503,97 DM³ </t>
    </r>
    <r>
      <rPr>
        <b/>
        <sz val="9"/>
        <color rgb="FF00B0F0"/>
        <rFont val="Arial"/>
        <family val="2"/>
      </rPr>
      <t>A SER MEDIDO QUANDO DA APROVAÇÃO DO ADITIVO APRESENTADO.</t>
    </r>
  </si>
  <si>
    <t>SUBSTITUIÇÃO DO ESTEIO E10 (DA BASE ATÉ A MADRE)</t>
  </si>
  <si>
    <t>LINHA DA COBERTURA SOBRE OS PORTAIS PA14 E PA27</t>
  </si>
  <si>
    <t>BURRINHO POR. P2</t>
  </si>
  <si>
    <t>COBERTURA VARANDA LAT. DIREITA</t>
  </si>
  <si>
    <t>LINHA COBERTURA (PORTAIS PA14 E PA27)</t>
  </si>
  <si>
    <r>
      <t xml:space="preserve">OBS: DEVIDO AO SALDO CONTRATUAL SER INSUFICIENTE, SERÁ MEDIDO , QUANDO DA APROVAÇÃO DO ADITIVO, O QUANTITATIVO DE </t>
    </r>
    <r>
      <rPr>
        <b/>
        <sz val="12"/>
        <color rgb="FFFF0000"/>
        <rFont val="Arial"/>
        <family val="2"/>
      </rPr>
      <t xml:space="preserve">143,38 M² </t>
    </r>
    <r>
      <rPr>
        <b/>
        <sz val="10"/>
        <color rgb="FFFF0000"/>
        <rFont val="Arial"/>
        <family val="2"/>
      </rPr>
      <t>SALDO DA MEDIÇÃO 8</t>
    </r>
    <r>
      <rPr>
        <b/>
        <sz val="10"/>
        <color rgb="FF00B0F0"/>
        <rFont val="Arial"/>
        <family val="2"/>
      </rPr>
      <t xml:space="preserve"> + QUANTITATIVO DE </t>
    </r>
    <r>
      <rPr>
        <b/>
        <sz val="12"/>
        <color rgb="FFFF0000"/>
        <rFont val="Arial"/>
        <family val="2"/>
      </rPr>
      <t>197,59 M²</t>
    </r>
    <r>
      <rPr>
        <b/>
        <sz val="10"/>
        <color rgb="FFFF0000"/>
        <rFont val="Arial"/>
        <family val="2"/>
      </rPr>
      <t xml:space="preserve"> EXECUTADO NA MEDIÇÃO 9</t>
    </r>
    <r>
      <rPr>
        <b/>
        <sz val="10"/>
        <color rgb="FF00B0F0"/>
        <rFont val="Arial"/>
        <family val="2"/>
      </rPr>
      <t xml:space="preserve"> + O QUANTITATIVO DE </t>
    </r>
    <r>
      <rPr>
        <b/>
        <sz val="10"/>
        <color rgb="FFFF0000"/>
        <rFont val="Arial"/>
        <family val="2"/>
      </rPr>
      <t>38,89 M² EXECUTADO NA MEDIÇÃO 10</t>
    </r>
    <r>
      <rPr>
        <b/>
        <sz val="10"/>
        <color rgb="FF00B0F0"/>
        <rFont val="Arial"/>
        <family val="2"/>
      </rPr>
      <t xml:space="preserve">, TOTALIZANDO O MONTANTE DE </t>
    </r>
    <r>
      <rPr>
        <b/>
        <sz val="14"/>
        <color rgb="FFFF0000"/>
        <rFont val="Arial"/>
        <family val="2"/>
      </rPr>
      <t>379,86 M²</t>
    </r>
  </si>
  <si>
    <t>AMBIENTE 08</t>
  </si>
  <si>
    <t>BANHEIROS E CIRCULAÇÃO</t>
  </si>
  <si>
    <t>CAIBROS, EXCLUSIVE RIPAS</t>
  </si>
  <si>
    <t>SUBSTITUIÇÃO DA LINHA DA VARANDA</t>
  </si>
  <si>
    <t>CUMEEIRA, LINHAS E DEMAIS PEÇAS</t>
  </si>
  <si>
    <r>
      <rPr>
        <b/>
        <sz val="10"/>
        <color rgb="FF00B0F0"/>
        <rFont val="Arial"/>
        <family val="2"/>
      </rPr>
      <t xml:space="preserve">OBS: DEVIDO AO SALDO CONTRATUAL SER INSUFICIENTE, SERÁ MEDIDO NA </t>
    </r>
    <r>
      <rPr>
        <b/>
        <sz val="10"/>
        <color rgb="FFFF0000"/>
        <rFont val="Arial"/>
        <family val="2"/>
      </rPr>
      <t>MEDIÇÃO 10 O QUANTITATIVO DE 30,00 M²</t>
    </r>
    <r>
      <rPr>
        <b/>
        <sz val="10"/>
        <color rgb="FF00B0F0"/>
        <rFont val="Arial"/>
        <family val="2"/>
      </rPr>
      <t xml:space="preserve"> RESTANDO O SALDO DE </t>
    </r>
    <r>
      <rPr>
        <b/>
        <sz val="14"/>
        <color rgb="FFFF0000"/>
        <rFont val="Arial"/>
        <family val="2"/>
      </rPr>
      <t>38,29 M²</t>
    </r>
    <r>
      <rPr>
        <b/>
        <sz val="10"/>
        <color rgb="FF00B0F0"/>
        <rFont val="Arial"/>
        <family val="2"/>
      </rPr>
      <t xml:space="preserve"> A SER MEDIDO QUANDO OCORRER A APROVAÇÃO DO ADITIVO</t>
    </r>
  </si>
  <si>
    <r>
      <t>OBS: DEVIDO AO SALDO CONTRATUAL INSUFICIENTE, SERÁ CONSIDERADO, QUANDO APROVADO O ADITIVO, O QUANTITATIVO DE</t>
    </r>
    <r>
      <rPr>
        <b/>
        <sz val="10"/>
        <color rgb="FFFF0000"/>
        <rFont val="Arial"/>
        <family val="2"/>
      </rPr>
      <t xml:space="preserve"> 0,35 MÊS (MEDIÇÃO 9)</t>
    </r>
    <r>
      <rPr>
        <b/>
        <sz val="10"/>
        <color rgb="FF00B0F0"/>
        <rFont val="Arial"/>
        <family val="2"/>
      </rPr>
      <t xml:space="preserve"> + O QUANTITATIVO DE </t>
    </r>
    <r>
      <rPr>
        <b/>
        <sz val="10"/>
        <color rgb="FFFF0000"/>
        <rFont val="Arial"/>
        <family val="2"/>
      </rPr>
      <t>1,03 MÊS (MEDIÇÃO 10)</t>
    </r>
    <r>
      <rPr>
        <b/>
        <sz val="10"/>
        <color rgb="FF00B0F0"/>
        <rFont val="Arial"/>
        <family val="2"/>
      </rPr>
      <t xml:space="preserve">, TOTALIZANDO </t>
    </r>
    <r>
      <rPr>
        <b/>
        <sz val="14"/>
        <color rgb="FFFF0000"/>
        <rFont val="Arial"/>
        <family val="2"/>
      </rPr>
      <t>1,38 MÊS.</t>
    </r>
  </si>
  <si>
    <r>
      <t xml:space="preserve">OBS: DEVIDO AO SALDO CONTRATUAL INSUFICIENTE, SERÁ CONSIDERADO, QUANDO APROVADO O ADITIVO, O QUANTITATIVO DE </t>
    </r>
    <r>
      <rPr>
        <b/>
        <sz val="10"/>
        <color rgb="FFFF0000"/>
        <rFont val="Arial"/>
        <family val="2"/>
      </rPr>
      <t>0,81 MÊS (MEDIÇÃO 9)</t>
    </r>
    <r>
      <rPr>
        <b/>
        <sz val="10"/>
        <color rgb="FF00B0F0"/>
        <rFont val="Arial"/>
        <family val="2"/>
      </rPr>
      <t xml:space="preserve"> + O QUANTITATIVO DE </t>
    </r>
    <r>
      <rPr>
        <b/>
        <sz val="10"/>
        <color rgb="FFFF0000"/>
        <rFont val="Arial"/>
        <family val="2"/>
      </rPr>
      <t>1,03 MÊS (MEDIÇÃO 10)</t>
    </r>
    <r>
      <rPr>
        <b/>
        <sz val="10"/>
        <color rgb="FF00B0F0"/>
        <rFont val="Arial"/>
        <family val="2"/>
      </rPr>
      <t xml:space="preserve">, TOTALIZANDO </t>
    </r>
    <r>
      <rPr>
        <b/>
        <sz val="14"/>
        <color rgb="FFFF0000"/>
        <rFont val="Arial"/>
        <family val="2"/>
      </rPr>
      <t>1,84 MÊS</t>
    </r>
    <r>
      <rPr>
        <b/>
        <sz val="10"/>
        <color rgb="FF00B0F0"/>
        <rFont val="Arial"/>
        <family val="2"/>
      </rPr>
      <t>.</t>
    </r>
  </si>
  <si>
    <t>BURRINHO DO PORÃO P2</t>
  </si>
  <si>
    <r>
      <rPr>
        <b/>
        <sz val="10"/>
        <color rgb="FF00B0F0"/>
        <rFont val="Arial"/>
        <family val="2"/>
      </rPr>
      <t>OBSERVAÇÃO: QUANTITATIVO NÃO MEDIDO NA</t>
    </r>
    <r>
      <rPr>
        <b/>
        <sz val="10"/>
        <color rgb="FFFF0000"/>
        <rFont val="Arial"/>
        <family val="2"/>
      </rPr>
      <t xml:space="preserve"> 6ª MEDIÇÃO</t>
    </r>
    <r>
      <rPr>
        <b/>
        <sz val="10"/>
        <color rgb="FF00B0F0"/>
        <rFont val="Arial"/>
        <family val="2"/>
      </rPr>
      <t xml:space="preserve"> POR EXCEDENTE DE SALDO CONTRATUAL</t>
    </r>
    <r>
      <rPr>
        <b/>
        <sz val="10"/>
        <color rgb="FFFF0000"/>
        <rFont val="Arial"/>
        <family val="2"/>
      </rPr>
      <t xml:space="preserve"> 17,43 M</t>
    </r>
    <r>
      <rPr>
        <b/>
        <sz val="10"/>
        <color rgb="FF00B0F0"/>
        <rFont val="Arial"/>
        <family val="2"/>
      </rPr>
      <t xml:space="preserve">. QUANTITATIVO NÃO MEDIDO NA </t>
    </r>
    <r>
      <rPr>
        <b/>
        <sz val="10"/>
        <color rgb="FFFF0000"/>
        <rFont val="Arial"/>
        <family val="2"/>
      </rPr>
      <t>7ª MEDIÇÃO</t>
    </r>
    <r>
      <rPr>
        <b/>
        <sz val="10"/>
        <color rgb="FF00B0F0"/>
        <rFont val="Arial"/>
        <family val="2"/>
      </rPr>
      <t xml:space="preserve"> POR EXCEDENTE DE QUANTITATIVO </t>
    </r>
    <r>
      <rPr>
        <b/>
        <sz val="10"/>
        <color rgb="FFFF0000"/>
        <rFont val="Arial"/>
        <family val="2"/>
      </rPr>
      <t>42,51 M</t>
    </r>
    <r>
      <rPr>
        <b/>
        <sz val="10"/>
        <color rgb="FF00B0F0"/>
        <rFont val="Arial"/>
        <family val="2"/>
      </rPr>
      <t xml:space="preserve">. QUANTITATIVO NÃO MEDIDO NA </t>
    </r>
    <r>
      <rPr>
        <b/>
        <sz val="10"/>
        <color rgb="FFFF0000"/>
        <rFont val="Arial"/>
        <family val="2"/>
      </rPr>
      <t>8ª MEDIÇÃO</t>
    </r>
    <r>
      <rPr>
        <b/>
        <sz val="10"/>
        <color rgb="FF00B0F0"/>
        <rFont val="Arial"/>
        <family val="2"/>
      </rPr>
      <t xml:space="preserve"> POR EXCEDENTE DE QUANTITATIVO </t>
    </r>
    <r>
      <rPr>
        <b/>
        <sz val="10"/>
        <color rgb="FFFF0000"/>
        <rFont val="Arial"/>
        <family val="2"/>
      </rPr>
      <t>51 M</t>
    </r>
    <r>
      <rPr>
        <b/>
        <sz val="10"/>
        <color rgb="FF00B0F0"/>
        <rFont val="Arial"/>
        <family val="2"/>
      </rPr>
      <t xml:space="preserve">.  QUANTITATIVO NÃO MEDIDO NA </t>
    </r>
    <r>
      <rPr>
        <b/>
        <sz val="10"/>
        <color rgb="FFFF0000"/>
        <rFont val="Arial"/>
        <family val="2"/>
      </rPr>
      <t>9ª MEDIÇÃO</t>
    </r>
    <r>
      <rPr>
        <b/>
        <sz val="10"/>
        <color rgb="FF00B0F0"/>
        <rFont val="Arial"/>
        <family val="2"/>
      </rPr>
      <t xml:space="preserve"> POR EXCEDENTE DE QUANTITATIVO </t>
    </r>
    <r>
      <rPr>
        <b/>
        <sz val="10"/>
        <color rgb="FFFF0000"/>
        <rFont val="Arial"/>
        <family val="2"/>
      </rPr>
      <t>27,17 M</t>
    </r>
    <r>
      <rPr>
        <b/>
        <sz val="10"/>
        <color rgb="FF00B0F0"/>
        <rFont val="Arial"/>
        <family val="2"/>
      </rPr>
      <t xml:space="preserve">. QUANTITATIVO NÃO MEDIDO NA </t>
    </r>
    <r>
      <rPr>
        <b/>
        <sz val="10"/>
        <color rgb="FFFF0000"/>
        <rFont val="Arial"/>
        <family val="2"/>
      </rPr>
      <t>10ª MEDIÇÃO</t>
    </r>
    <r>
      <rPr>
        <b/>
        <sz val="10"/>
        <color rgb="FF00B0F0"/>
        <rFont val="Arial"/>
        <family val="2"/>
      </rPr>
      <t xml:space="preserve"> POR EXCEDENTE DE QUANTITATIVO </t>
    </r>
    <r>
      <rPr>
        <b/>
        <sz val="10"/>
        <color rgb="FFFF0000"/>
        <rFont val="Arial"/>
        <family val="2"/>
      </rPr>
      <t>23,04 M</t>
    </r>
    <r>
      <rPr>
        <b/>
        <sz val="10"/>
        <color rgb="FF00B0F0"/>
        <rFont val="Arial"/>
        <family val="2"/>
      </rPr>
      <t xml:space="preserve">. TOTAL A SER MEDIDO NO ADITIVO </t>
    </r>
    <r>
      <rPr>
        <b/>
        <sz val="14"/>
        <color rgb="FFFF0000"/>
        <rFont val="Arial"/>
        <family val="2"/>
      </rPr>
      <t>161,15 M.</t>
    </r>
  </si>
  <si>
    <r>
      <t xml:space="preserve">OBS: SALDO NÃO CONSIDERADO NA </t>
    </r>
    <r>
      <rPr>
        <b/>
        <sz val="10"/>
        <color rgb="FFFF0000"/>
        <rFont val="Arial"/>
        <family val="2"/>
      </rPr>
      <t xml:space="preserve">MEDIÇÃO 7 = </t>
    </r>
    <r>
      <rPr>
        <b/>
        <sz val="14"/>
        <color rgb="FFFF0000"/>
        <rFont val="Arial"/>
        <family val="2"/>
      </rPr>
      <t>64 UNIDADES</t>
    </r>
    <r>
      <rPr>
        <b/>
        <sz val="10"/>
        <color rgb="FF00B0F0"/>
        <rFont val="Arial"/>
        <family val="2"/>
      </rPr>
      <t xml:space="preserve"> A SEREM CONSIDERADAS NO ADITIVO A SER APRESENTADO. REALIZADO NA </t>
    </r>
    <r>
      <rPr>
        <b/>
        <sz val="10"/>
        <color rgb="FFFF0000"/>
        <rFont val="Arial"/>
        <family val="2"/>
      </rPr>
      <t xml:space="preserve">MEDIÇÃO 8 = </t>
    </r>
    <r>
      <rPr>
        <b/>
        <sz val="14"/>
        <color rgb="FFFF0000"/>
        <rFont val="Arial"/>
        <family val="2"/>
      </rPr>
      <t>132,00</t>
    </r>
    <r>
      <rPr>
        <b/>
        <sz val="14"/>
        <color theme="1"/>
        <rFont val="Arial"/>
        <family val="2"/>
      </rPr>
      <t xml:space="preserve"> UNIDADES </t>
    </r>
    <r>
      <rPr>
        <b/>
        <sz val="10"/>
        <color rgb="FF00B0F0"/>
        <rFont val="Arial"/>
        <family val="2"/>
      </rPr>
      <t xml:space="preserve">E NÃO MEDIDO DEVIDO AO SALDO CONTRATUAL INSUFICIENTE. REALIZADO NA </t>
    </r>
    <r>
      <rPr>
        <b/>
        <sz val="10"/>
        <color rgb="FFFF0000"/>
        <rFont val="Arial"/>
        <family val="2"/>
      </rPr>
      <t xml:space="preserve">MEDIÇÃO 9 = </t>
    </r>
    <r>
      <rPr>
        <b/>
        <sz val="14"/>
        <color rgb="FFFF0000"/>
        <rFont val="Arial"/>
        <family val="2"/>
      </rPr>
      <t>62,00 UNIDADES</t>
    </r>
    <r>
      <rPr>
        <b/>
        <sz val="10"/>
        <color rgb="FFFF0000"/>
        <rFont val="Arial"/>
        <family val="2"/>
      </rPr>
      <t xml:space="preserve"> </t>
    </r>
    <r>
      <rPr>
        <b/>
        <sz val="10"/>
        <color rgb="FF00B0F0"/>
        <rFont val="Arial"/>
        <family val="2"/>
      </rPr>
      <t xml:space="preserve">E NÃO MEDIDO DEVIDO AO SALDO CONTRATUAL INSUFICIENTE. REALIZADO NA </t>
    </r>
    <r>
      <rPr>
        <b/>
        <sz val="10"/>
        <color rgb="FFFF0000"/>
        <rFont val="Arial"/>
        <family val="2"/>
      </rPr>
      <t>MEDIÇÃO 10 = 48,00 UNIDADES</t>
    </r>
    <r>
      <rPr>
        <b/>
        <sz val="10"/>
        <color rgb="FF00B0F0"/>
        <rFont val="Arial"/>
        <family val="2"/>
      </rPr>
      <t xml:space="preserve"> E NÃO MEDIDO DEVIDO AO SALDO CONTRATUAL INSUFICIENTE. TOTAL A SER MEDIDO NO ADITIVO = </t>
    </r>
    <r>
      <rPr>
        <b/>
        <sz val="14"/>
        <color rgb="FFFF0000"/>
        <rFont val="Arial"/>
        <family val="2"/>
      </rPr>
      <t>306 UNIDADES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</si>
</sst>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R$&quot;\ * #,##0.00_-;\-&quot;R$&quot;\ * #,##0.00_-;_-&quot;R$&quot;\ * &quot;-&quot;??_-;_-@_-"/>
    <numFmt numFmtId="43" formatCode="_-* #,##0.00_-;\-* #,##0.00_-;_-* &quot;-&quot;??_-;_-@_-"/>
    <numFmt numFmtId="164" formatCode="_-* #,##0.000_-;\-* #,##0.000_-;_-* &quot;-&quot;??_-;_-@_-"/>
    <numFmt numFmtId="165" formatCode="_ * #,##0.00_)_C_r_$_ ;_ * \(#,##0.00\)_C_r_$_ ;_ * &quot;-&quot;??_)_C_r_$_ ;_ @_ "/>
    <numFmt numFmtId="166" formatCode="_(* #,##0.00_);_(* \(#,##0.00\);_(* &quot;-&quot;??_);_(@_)"/>
    <numFmt numFmtId="167" formatCode="_-* #,##0\ _P_t_s_-;\-* #,##0\ _P_t_s_-;_-* &quot;-&quot;\ _P_t_s_-;_-@_-"/>
    <numFmt numFmtId="168" formatCode="_-* #,##0.00\ _P_t_s_-;\-* #,##0.00\ _P_t_s_-;_-* &quot;-&quot;??\ _P_t_s_-;_-@_-"/>
    <numFmt numFmtId="169" formatCode="_-&quot;R$ &quot;* #,##0.00_-;&quot;-R$ &quot;* #,##0.00_-;_-&quot;R$ &quot;* \-??_-;_-@_-"/>
    <numFmt numFmtId="170" formatCode="_-* #,##0\ &quot;Pts&quot;_-;\-* #,##0\ &quot;Pts&quot;_-;_-* &quot;-&quot;\ &quot;Pts&quot;_-;_-@_-"/>
    <numFmt numFmtId="171" formatCode="_-* #,##0.00\ &quot;Pts&quot;_-;\-* #,##0.00\ &quot;Pts&quot;_-;_-* &quot;-&quot;??\ &quot;Pts&quot;_-;_-@_-"/>
    <numFmt numFmtId="172" formatCode="_-* #,##0.00_-;\-* #,##0.00_-;_-* \-??_-;_-@_-"/>
    <numFmt numFmtId="173" formatCode="_(* #,##0.00_);_(* \(#,##0.00\);_(* \-??_);_(@_)"/>
    <numFmt numFmtId="174" formatCode="#,##0.000"/>
    <numFmt numFmtId="175" formatCode="#,##0.00;\-0;;@"/>
    <numFmt numFmtId="176" formatCode="0.00%;\-0;;@"/>
    <numFmt numFmtId="177" formatCode="[$-416]mmmm\-yy;@"/>
    <numFmt numFmtId="178" formatCode="0.000"/>
    <numFmt numFmtId="179" formatCode="#,##0.00_ ;\-#,##0.00\ "/>
    <numFmt numFmtId="180" formatCode="#,##0.0000"/>
    <numFmt numFmtId="181" formatCode="0.0000"/>
    <numFmt numFmtId="182" formatCode="#,##0.0000;\-0.00;;@"/>
    <numFmt numFmtId="183" formatCode="#,##0.0000000;\-0.00000;;@"/>
    <numFmt numFmtId="184" formatCode="#,##0;\-0;;@"/>
  </numFmts>
  <fonts count="95"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2"/>
      <color theme="1"/>
      <name val="Arial"/>
      <family val="2"/>
    </font>
    <font>
      <b/>
      <sz val="12"/>
      <color theme="1"/>
      <name val="Arial"/>
      <family val="2"/>
    </font>
    <font>
      <sz val="11"/>
      <color theme="1"/>
      <name val="Arial"/>
      <family val="2"/>
    </font>
    <font>
      <b/>
      <sz val="11"/>
      <color theme="1"/>
      <name val="Arial"/>
      <family val="2"/>
    </font>
    <font>
      <b/>
      <sz val="20"/>
      <color theme="1"/>
      <name val="Arial"/>
      <family val="2"/>
    </font>
    <font>
      <sz val="11"/>
      <name val="Arial"/>
      <family val="2"/>
    </font>
    <font>
      <b/>
      <sz val="11"/>
      <name val="Arial"/>
      <family val="2"/>
    </font>
    <font>
      <b/>
      <sz val="18"/>
      <color theme="1"/>
      <name val="Arial"/>
      <family val="2"/>
    </font>
    <font>
      <sz val="12"/>
      <name val="Arial"/>
      <family val="2"/>
    </font>
    <font>
      <sz val="14"/>
      <name val="Arial"/>
      <family val="2"/>
    </font>
    <font>
      <sz val="14"/>
      <color theme="1"/>
      <name val="Arial"/>
      <family val="2"/>
    </font>
    <font>
      <b/>
      <sz val="24"/>
      <name val="Arial"/>
      <family val="2"/>
    </font>
    <font>
      <b/>
      <sz val="36"/>
      <name val="Arial"/>
      <family val="2"/>
    </font>
    <font>
      <sz val="22"/>
      <name val="Arial"/>
      <family val="2"/>
    </font>
    <font>
      <sz val="11"/>
      <color rgb="FF000000"/>
      <name val="Calibri"/>
      <family val="2"/>
    </font>
    <font>
      <sz val="10"/>
      <color rgb="FF00000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sz val="10"/>
      <color indexed="36"/>
      <name val="Arial"/>
      <family val="2"/>
    </font>
    <font>
      <sz val="11"/>
      <color indexed="20"/>
      <name val="Calibri"/>
      <family val="2"/>
    </font>
    <font>
      <sz val="11"/>
      <color indexed="60"/>
      <name val="Calibri"/>
      <family val="2"/>
    </font>
    <font>
      <b/>
      <sz val="11"/>
      <color indexed="63"/>
      <name val="Calibri"/>
      <family val="2"/>
    </font>
    <font>
      <b/>
      <sz val="9"/>
      <name val="Times New Roman"/>
      <family val="1"/>
    </font>
    <font>
      <sz val="11"/>
      <color indexed="10"/>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rgb="FF000000"/>
      <name val="Arial"/>
      <family val="2"/>
    </font>
    <font>
      <sz val="11"/>
      <name val="Calibri"/>
      <family val="2"/>
      <scheme val="minor"/>
    </font>
    <font>
      <b/>
      <sz val="9"/>
      <color theme="0" tint="-0.499984740745262"/>
      <name val="Arial"/>
      <family val="2"/>
    </font>
    <font>
      <b/>
      <sz val="10"/>
      <color theme="0" tint="-0.249977111117893"/>
      <name val="Arial"/>
      <family val="2"/>
    </font>
    <font>
      <b/>
      <sz val="12"/>
      <color theme="0" tint="-0.499984740745262"/>
      <name val="Arial"/>
      <family val="2"/>
    </font>
    <font>
      <b/>
      <i/>
      <sz val="9"/>
      <color theme="0" tint="-0.499984740745262"/>
      <name val="Arial"/>
      <family val="2"/>
    </font>
    <font>
      <b/>
      <i/>
      <sz val="12"/>
      <color theme="0" tint="-0.499984740745262"/>
      <name val="Arial"/>
      <family val="2"/>
    </font>
    <font>
      <sz val="16"/>
      <name val="Arial"/>
      <family val="2"/>
    </font>
    <font>
      <b/>
      <sz val="14"/>
      <color theme="1"/>
      <name val="Arial"/>
      <family val="2"/>
    </font>
    <font>
      <b/>
      <sz val="20"/>
      <name val="Arial"/>
      <family val="2"/>
    </font>
    <font>
      <b/>
      <sz val="12"/>
      <name val="Arial"/>
      <family val="2"/>
    </font>
    <font>
      <b/>
      <sz val="12"/>
      <color rgb="FF000000"/>
      <name val="Arial"/>
      <family val="2"/>
    </font>
    <font>
      <b/>
      <sz val="16"/>
      <name val="Arial"/>
      <family val="2"/>
    </font>
    <font>
      <b/>
      <u/>
      <sz val="16"/>
      <color theme="1"/>
      <name val="Arial"/>
      <family val="2"/>
    </font>
    <font>
      <sz val="14"/>
      <color theme="1"/>
      <name val="Calibri"/>
      <family val="2"/>
      <scheme val="minor"/>
    </font>
    <font>
      <b/>
      <u/>
      <sz val="12"/>
      <name val="Arial"/>
      <family val="2"/>
    </font>
    <font>
      <sz val="8"/>
      <color theme="1"/>
      <name val="Arial"/>
      <family val="2"/>
    </font>
    <font>
      <b/>
      <sz val="11"/>
      <color rgb="FFC00000"/>
      <name val="Arial"/>
      <family val="2"/>
    </font>
    <font>
      <sz val="9"/>
      <color theme="1"/>
      <name val="Arial"/>
      <family val="2"/>
    </font>
    <font>
      <b/>
      <u/>
      <sz val="11"/>
      <color rgb="FFC00000"/>
      <name val="Arial"/>
      <family val="2"/>
    </font>
    <font>
      <b/>
      <sz val="10"/>
      <name val="Arial"/>
      <family val="2"/>
    </font>
    <font>
      <u/>
      <sz val="12"/>
      <name val="Arial"/>
      <family val="2"/>
    </font>
    <font>
      <b/>
      <sz val="14"/>
      <name val="Arial"/>
      <family val="2"/>
    </font>
    <font>
      <sz val="14"/>
      <name val="Calibri"/>
      <family val="2"/>
    </font>
    <font>
      <b/>
      <u/>
      <sz val="10"/>
      <name val="Arial"/>
      <family val="2"/>
    </font>
    <font>
      <sz val="16"/>
      <color theme="1"/>
      <name val="Arial"/>
      <family val="2"/>
    </font>
    <font>
      <sz val="9"/>
      <name val="Arial"/>
      <family val="2"/>
    </font>
    <font>
      <b/>
      <sz val="10"/>
      <color theme="1"/>
      <name val="Arial"/>
      <family val="2"/>
    </font>
    <font>
      <b/>
      <sz val="16"/>
      <color theme="1"/>
      <name val="Arial"/>
      <family val="2"/>
    </font>
    <font>
      <b/>
      <u/>
      <sz val="9"/>
      <name val="Arial"/>
      <family val="2"/>
    </font>
    <font>
      <b/>
      <sz val="9"/>
      <name val="Arial"/>
      <family val="2"/>
    </font>
    <font>
      <b/>
      <sz val="10"/>
      <color rgb="FF00B050"/>
      <name val="Arial"/>
      <family val="2"/>
    </font>
    <font>
      <b/>
      <sz val="11"/>
      <color rgb="FF00B050"/>
      <name val="Arial"/>
      <family val="2"/>
    </font>
    <font>
      <sz val="12"/>
      <color theme="1"/>
      <name val="Calibri"/>
      <family val="2"/>
      <scheme val="minor"/>
    </font>
    <font>
      <b/>
      <sz val="12"/>
      <color theme="1"/>
      <name val="Calibri"/>
      <family val="2"/>
      <scheme val="minor"/>
    </font>
    <font>
      <u/>
      <sz val="10"/>
      <name val="Arial"/>
      <family val="2"/>
    </font>
    <font>
      <b/>
      <u/>
      <sz val="10"/>
      <color theme="1"/>
      <name val="Arial"/>
      <family val="2"/>
    </font>
    <font>
      <sz val="10"/>
      <color theme="1"/>
      <name val="Arial"/>
      <family val="2"/>
    </font>
    <font>
      <sz val="10"/>
      <color theme="1"/>
      <name val="Calibri"/>
      <family val="2"/>
      <scheme val="minor"/>
    </font>
    <font>
      <b/>
      <u/>
      <sz val="12"/>
      <color rgb="FF00B0F0"/>
      <name val="Arial"/>
      <family val="2"/>
    </font>
    <font>
      <b/>
      <u/>
      <sz val="10"/>
      <color rgb="FF00B0F0"/>
      <name val="Arial"/>
      <family val="2"/>
    </font>
    <font>
      <b/>
      <sz val="12"/>
      <color rgb="FF00B0F0"/>
      <name val="Arial"/>
      <family val="2"/>
    </font>
    <font>
      <b/>
      <sz val="10"/>
      <color rgb="FF00B0F0"/>
      <name val="Arial"/>
      <family val="2"/>
    </font>
    <font>
      <b/>
      <sz val="11"/>
      <color rgb="FF00B0F0"/>
      <name val="Arial"/>
      <family val="2"/>
    </font>
    <font>
      <sz val="11"/>
      <color rgb="FFFF0000"/>
      <name val="Arial"/>
      <family val="2"/>
    </font>
    <font>
      <sz val="10"/>
      <color theme="0" tint="-0.499984740745262"/>
      <name val="Arial"/>
      <family val="2"/>
    </font>
    <font>
      <i/>
      <sz val="10"/>
      <name val="Arial"/>
      <family val="2"/>
    </font>
    <font>
      <sz val="9"/>
      <color rgb="FF00B0F0"/>
      <name val="Arial"/>
      <family val="2"/>
    </font>
    <font>
      <sz val="10"/>
      <color rgb="FF00B0F0"/>
      <name val="Arial"/>
      <family val="2"/>
    </font>
    <font>
      <b/>
      <sz val="9"/>
      <color rgb="FF00B0F0"/>
      <name val="Arial"/>
      <family val="2"/>
    </font>
    <font>
      <b/>
      <sz val="14"/>
      <color rgb="FFFF0000"/>
      <name val="Arial"/>
      <family val="2"/>
    </font>
    <font>
      <b/>
      <sz val="10"/>
      <color rgb="FFFF0000"/>
      <name val="Arial"/>
      <family val="2"/>
    </font>
    <font>
      <b/>
      <sz val="9"/>
      <color theme="1"/>
      <name val="Arial"/>
      <family val="2"/>
    </font>
    <font>
      <b/>
      <sz val="9"/>
      <color rgb="FFFF0000"/>
      <name val="Arial"/>
      <family val="2"/>
    </font>
    <font>
      <b/>
      <sz val="12"/>
      <color rgb="FFFF0000"/>
      <name val="Arial"/>
      <family val="2"/>
    </font>
    <font>
      <sz val="12"/>
      <color rgb="FFFF0000"/>
      <name val="Arial"/>
      <family val="2"/>
    </font>
  </fonts>
  <fills count="2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indexed="27"/>
        <bgColor indexed="41"/>
      </patternFill>
    </fill>
    <fill>
      <patternFill patternType="solid">
        <fgColor indexed="47"/>
        <bgColor indexed="42"/>
      </patternFill>
    </fill>
    <fill>
      <patternFill patternType="solid">
        <fgColor indexed="42"/>
        <bgColor indexed="31"/>
      </patternFill>
    </fill>
    <fill>
      <patternFill patternType="solid">
        <fgColor indexed="26"/>
        <bgColor indexed="9"/>
      </patternFill>
    </fill>
    <fill>
      <patternFill patternType="solid">
        <fgColor indexed="43"/>
        <bgColor indexed="26"/>
      </patternFill>
    </fill>
    <fill>
      <patternFill patternType="solid">
        <fgColor indexed="24"/>
        <bgColor indexed="46"/>
      </patternFill>
    </fill>
    <fill>
      <patternFill patternType="solid">
        <fgColor indexed="22"/>
        <bgColor indexed="44"/>
      </patternFill>
    </fill>
    <fill>
      <patternFill patternType="solid">
        <fgColor indexed="49"/>
        <bgColor indexed="40"/>
      </patternFill>
    </fill>
    <fill>
      <patternFill patternType="solid">
        <fgColor indexed="57"/>
        <bgColor indexed="21"/>
      </patternFill>
    </fill>
    <fill>
      <patternFill patternType="solid">
        <fgColor indexed="9"/>
        <bgColor indexed="41"/>
      </patternFill>
    </fill>
    <fill>
      <patternFill patternType="solid">
        <fgColor indexed="55"/>
        <bgColor indexed="46"/>
      </patternFill>
    </fill>
    <fill>
      <patternFill patternType="solid">
        <fgColor indexed="53"/>
        <bgColor indexed="52"/>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
      <patternFill patternType="solid">
        <fgColor indexed="22"/>
        <bgColor indexed="64"/>
      </patternFill>
    </fill>
    <fill>
      <patternFill patternType="solid">
        <fgColor theme="2"/>
        <bgColor indexed="64"/>
      </patternFill>
    </fill>
    <fill>
      <patternFill patternType="solid">
        <fgColor theme="0" tint="-4.9989318521683403E-2"/>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44"/>
      </left>
      <right style="thin">
        <color indexed="44"/>
      </right>
      <top style="thin">
        <color indexed="44"/>
      </top>
      <bottom style="thin">
        <color indexed="4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44"/>
      </left>
      <right style="thin">
        <color indexed="44"/>
      </right>
      <top style="thin">
        <color indexed="44"/>
      </top>
      <bottom style="thin">
        <color indexed="4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44"/>
      </left>
      <right style="thin">
        <color indexed="44"/>
      </right>
      <top style="thin">
        <color indexed="44"/>
      </top>
      <bottom style="thin">
        <color indexed="4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hair">
        <color indexed="64"/>
      </bottom>
      <diagonal/>
    </border>
    <border>
      <left/>
      <right style="thin">
        <color indexed="64"/>
      </right>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auto="1"/>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auto="1"/>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5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9" fillId="0" borderId="0"/>
    <xf numFmtId="0" fontId="1" fillId="0" borderId="0"/>
    <xf numFmtId="0" fontId="3" fillId="0" borderId="0"/>
    <xf numFmtId="0" fontId="3" fillId="0" borderId="0"/>
    <xf numFmtId="165" fontId="3" fillId="0" borderId="0" applyFont="0" applyFill="0" applyBorder="0" applyAlignment="0" applyProtection="0"/>
    <xf numFmtId="43" fontId="1" fillId="0" borderId="0" applyFon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1" fillId="7"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6" borderId="0" applyNumberFormat="0" applyBorder="0" applyAlignment="0" applyProtection="0"/>
    <xf numFmtId="0" fontId="23" fillId="15" borderId="71" applyNumberFormat="0" applyAlignment="0" applyProtection="0"/>
    <xf numFmtId="0" fontId="24" fillId="16" borderId="72" applyNumberFormat="0" applyAlignment="0" applyProtection="0"/>
    <xf numFmtId="0" fontId="25" fillId="0" borderId="73" applyNumberFormat="0" applyFill="0" applyAlignment="0" applyProtection="0"/>
    <xf numFmtId="0" fontId="21" fillId="13"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6" fillId="7" borderId="71" applyNumberFormat="0" applyAlignment="0" applyProtection="0"/>
    <xf numFmtId="0" fontId="27" fillId="0" borderId="0" applyNumberFormat="0" applyFill="0" applyBorder="0" applyAlignment="0" applyProtection="0">
      <alignment vertical="top"/>
      <protection locked="0"/>
    </xf>
    <xf numFmtId="0" fontId="28" fillId="20" borderId="0" applyNumberFormat="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ill="0" applyBorder="0" applyAlignment="0" applyProtection="0"/>
    <xf numFmtId="44" fontId="3" fillId="0" borderId="0" quotePrefix="1" applyFont="0" applyFill="0" applyBorder="0" applyAlignment="0">
      <protection locked="0"/>
    </xf>
    <xf numFmtId="44" fontId="19"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29" fillId="10" borderId="0" applyNumberFormat="0" applyBorder="0" applyAlignment="0" applyProtection="0"/>
    <xf numFmtId="0" fontId="12" fillId="0" borderId="0"/>
    <xf numFmtId="0" fontId="12" fillId="0" borderId="0"/>
    <xf numFmtId="0" fontId="3" fillId="0" borderId="0"/>
    <xf numFmtId="0" fontId="3" fillId="0" borderId="0"/>
    <xf numFmtId="0" fontId="1" fillId="0" borderId="0"/>
    <xf numFmtId="0" fontId="20" fillId="0" borderId="0"/>
    <xf numFmtId="0" fontId="3" fillId="0" borderId="0"/>
    <xf numFmtId="0" fontId="3" fillId="0" borderId="0"/>
    <xf numFmtId="0" fontId="3" fillId="9" borderId="74" applyNumberFormat="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0" fillId="15" borderId="75" applyNumberFormat="0" applyAlignment="0" applyProtection="0"/>
    <xf numFmtId="43" fontId="18"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1" fillId="21" borderId="76">
      <alignment wrapText="1"/>
    </xf>
    <xf numFmtId="0" fontId="32" fillId="0" borderId="0" applyNumberFormat="0" applyFill="0" applyBorder="0" applyAlignment="0" applyProtection="0"/>
    <xf numFmtId="0" fontId="33" fillId="0" borderId="0" applyNumberFormat="0" applyFill="0" applyBorder="0" applyAlignment="0" applyProtection="0"/>
    <xf numFmtId="0" fontId="34" fillId="0" borderId="77" applyNumberFormat="0" applyFill="0" applyAlignment="0" applyProtection="0"/>
    <xf numFmtId="0" fontId="35" fillId="0" borderId="78" applyNumberFormat="0" applyFill="0" applyAlignment="0" applyProtection="0"/>
    <xf numFmtId="0" fontId="36" fillId="0" borderId="7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80" applyNumberFormat="0" applyFill="0" applyAlignment="0" applyProtection="0"/>
    <xf numFmtId="172" fontId="3" fillId="0" borderId="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3" fillId="0" borderId="0" applyFont="0" applyFill="0" applyBorder="0" applyAlignment="0" applyProtection="0"/>
    <xf numFmtId="171" fontId="3" fillId="0" borderId="0" applyFont="0" applyFill="0" applyBorder="0" applyAlignment="0" applyProtection="0"/>
    <xf numFmtId="0" fontId="1" fillId="0" borderId="0"/>
    <xf numFmtId="43" fontId="1" fillId="0" borderId="0" applyFont="0" applyFill="0" applyBorder="0" applyAlignment="0" applyProtection="0"/>
    <xf numFmtId="171" fontId="3" fillId="0" borderId="0" applyFont="0" applyFill="0" applyBorder="0" applyAlignment="0" applyProtection="0"/>
    <xf numFmtId="0" fontId="18" fillId="0" borderId="0"/>
    <xf numFmtId="44" fontId="18"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1" fillId="0" borderId="0"/>
    <xf numFmtId="0" fontId="3" fillId="0" borderId="0"/>
    <xf numFmtId="0" fontId="3" fillId="0" borderId="0"/>
    <xf numFmtId="43" fontId="1" fillId="0" borderId="0" applyFont="0" applyFill="0" applyBorder="0" applyAlignment="0" applyProtection="0"/>
    <xf numFmtId="0" fontId="31" fillId="21" borderId="87">
      <alignment wrapText="1"/>
    </xf>
    <xf numFmtId="166" fontId="3" fillId="0" borderId="0" applyFont="0" applyFill="0" applyBorder="0" applyAlignment="0" applyProtection="0"/>
    <xf numFmtId="0" fontId="30" fillId="15" borderId="91" applyNumberFormat="0" applyAlignment="0" applyProtection="0"/>
    <xf numFmtId="0" fontId="3" fillId="9" borderId="90" applyNumberFormat="0" applyAlignment="0" applyProtection="0"/>
    <xf numFmtId="0" fontId="26" fillId="7" borderId="84" applyNumberFormat="0" applyAlignment="0" applyProtection="0"/>
    <xf numFmtId="0" fontId="12" fillId="0" borderId="0"/>
    <xf numFmtId="0" fontId="12" fillId="0" borderId="0"/>
    <xf numFmtId="0" fontId="23" fillId="15" borderId="84" applyNumberFormat="0" applyAlignment="0" applyProtection="0"/>
    <xf numFmtId="0" fontId="3" fillId="9" borderId="85" applyNumberFormat="0" applyAlignment="0" applyProtection="0"/>
    <xf numFmtId="0" fontId="26" fillId="7" borderId="84" applyNumberFormat="0" applyAlignment="0" applyProtection="0"/>
    <xf numFmtId="0" fontId="26" fillId="7" borderId="89" applyNumberFormat="0" applyAlignment="0" applyProtection="0"/>
    <xf numFmtId="0" fontId="30" fillId="15" borderId="86" applyNumberFormat="0" applyAlignment="0" applyProtection="0"/>
    <xf numFmtId="166" fontId="3" fillId="0" borderId="0" applyFont="0" applyFill="0" applyBorder="0" applyAlignment="0" applyProtection="0"/>
    <xf numFmtId="0" fontId="23" fillId="15" borderId="89" applyNumberFormat="0" applyAlignment="0" applyProtection="0"/>
    <xf numFmtId="0" fontId="12" fillId="0" borderId="0"/>
    <xf numFmtId="0" fontId="3" fillId="9" borderId="85" applyNumberFormat="0" applyAlignment="0" applyProtection="0"/>
    <xf numFmtId="0" fontId="30" fillId="15" borderId="86" applyNumberFormat="0" applyAlignment="0" applyProtection="0"/>
    <xf numFmtId="0" fontId="38" fillId="0" borderId="88" applyNumberFormat="0" applyFill="0" applyAlignment="0" applyProtection="0"/>
    <xf numFmtId="166" fontId="3" fillId="0" borderId="0" applyFont="0" applyFill="0" applyBorder="0" applyAlignment="0" applyProtection="0"/>
    <xf numFmtId="0" fontId="23" fillId="15" borderId="84" applyNumberFormat="0" applyAlignment="0" applyProtection="0"/>
    <xf numFmtId="0" fontId="3" fillId="0" borderId="0"/>
    <xf numFmtId="0" fontId="3" fillId="0" borderId="0"/>
    <xf numFmtId="0" fontId="31" fillId="21" borderId="87">
      <alignment wrapText="1"/>
    </xf>
    <xf numFmtId="0" fontId="38" fillId="0" borderId="88" applyNumberFormat="0" applyFill="0" applyAlignment="0" applyProtection="0"/>
    <xf numFmtId="0" fontId="1" fillId="0" borderId="0"/>
    <xf numFmtId="43" fontId="1" fillId="0" borderId="0" applyFont="0" applyFill="0" applyBorder="0" applyAlignment="0" applyProtection="0"/>
    <xf numFmtId="0" fontId="31" fillId="21" borderId="92">
      <alignment wrapText="1"/>
    </xf>
    <xf numFmtId="43" fontId="1" fillId="0" borderId="0" applyFont="0" applyFill="0" applyBorder="0" applyAlignment="0" applyProtection="0"/>
    <xf numFmtId="0" fontId="3" fillId="0" borderId="0"/>
    <xf numFmtId="0" fontId="3" fillId="0" borderId="0"/>
    <xf numFmtId="0" fontId="1" fillId="0" borderId="0"/>
    <xf numFmtId="0" fontId="38" fillId="0" borderId="93" applyNumberFormat="0" applyFill="0" applyAlignment="0" applyProtection="0"/>
    <xf numFmtId="0" fontId="1" fillId="0" borderId="0"/>
    <xf numFmtId="0" fontId="3" fillId="0" borderId="0"/>
    <xf numFmtId="0" fontId="3" fillId="0" borderId="0"/>
    <xf numFmtId="43" fontId="1" fillId="0" borderId="0" applyFont="0" applyFill="0" applyBorder="0" applyAlignment="0" applyProtection="0"/>
    <xf numFmtId="0" fontId="23" fillId="15" borderId="84" applyNumberFormat="0" applyAlignment="0" applyProtection="0"/>
    <xf numFmtId="0" fontId="26" fillId="7" borderId="84" applyNumberFormat="0" applyAlignment="0" applyProtection="0"/>
    <xf numFmtId="0" fontId="12" fillId="0" borderId="0"/>
    <xf numFmtId="0" fontId="3" fillId="9" borderId="85" applyNumberFormat="0" applyAlignment="0" applyProtection="0"/>
    <xf numFmtId="0" fontId="30" fillId="15" borderId="86" applyNumberFormat="0" applyAlignment="0" applyProtection="0"/>
    <xf numFmtId="166" fontId="3" fillId="0" borderId="0" applyFont="0" applyFill="0" applyBorder="0" applyAlignment="0" applyProtection="0"/>
    <xf numFmtId="0" fontId="31" fillId="21" borderId="87">
      <alignment wrapText="1"/>
    </xf>
    <xf numFmtId="0" fontId="38" fillId="0" borderId="88" applyNumberFormat="0" applyFill="0" applyAlignment="0" applyProtection="0"/>
    <xf numFmtId="4" fontId="3" fillId="0" borderId="14">
      <alignment vertical="justify"/>
    </xf>
  </cellStyleXfs>
  <cellXfs count="1464">
    <xf numFmtId="0" fontId="0" fillId="0" borderId="0" xfId="0"/>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 fontId="14" fillId="0" borderId="40" xfId="0" applyNumberFormat="1" applyFont="1" applyFill="1" applyBorder="1" applyAlignment="1" applyProtection="1">
      <alignment horizontal="center" vertical="center"/>
    </xf>
    <xf numFmtId="0" fontId="4" fillId="0" borderId="22" xfId="0" applyFont="1" applyBorder="1" applyAlignment="1" applyProtection="1">
      <alignment vertical="center"/>
    </xf>
    <xf numFmtId="0" fontId="4" fillId="0" borderId="22" xfId="0" applyFont="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49" fontId="4" fillId="0" borderId="11" xfId="0" applyNumberFormat="1" applyFont="1" applyBorder="1" applyAlignment="1" applyProtection="1">
      <alignment horizontal="center" vertical="center"/>
    </xf>
    <xf numFmtId="4" fontId="4" fillId="0" borderId="1" xfId="2" applyNumberFormat="1" applyFont="1" applyBorder="1" applyAlignment="1" applyProtection="1">
      <alignment vertical="center"/>
    </xf>
    <xf numFmtId="4" fontId="47" fillId="3" borderId="27" xfId="2" applyNumberFormat="1" applyFont="1" applyFill="1" applyBorder="1" applyAlignment="1" applyProtection="1">
      <alignment vertical="center"/>
    </xf>
    <xf numFmtId="0" fontId="4" fillId="0" borderId="0" xfId="0" applyFont="1" applyAlignment="1" applyProtection="1">
      <alignment horizontal="center" vertical="center"/>
    </xf>
    <xf numFmtId="0" fontId="12" fillId="0" borderId="0" xfId="5" applyFont="1" applyAlignment="1" applyProtection="1">
      <alignment horizontal="center" vertical="center"/>
    </xf>
    <xf numFmtId="0" fontId="12" fillId="0" borderId="0" xfId="5" applyFont="1" applyAlignment="1" applyProtection="1">
      <alignment horizontal="center" vertical="center" wrapText="1"/>
    </xf>
    <xf numFmtId="0" fontId="13" fillId="0" borderId="0" xfId="5" applyFont="1" applyAlignment="1" applyProtection="1">
      <alignment horizontal="center" vertical="center"/>
    </xf>
    <xf numFmtId="0" fontId="13" fillId="0" borderId="0" xfId="5" applyFont="1" applyBorder="1" applyAlignment="1" applyProtection="1">
      <alignment horizontal="left" vertical="center" indent="2"/>
    </xf>
    <xf numFmtId="0" fontId="12" fillId="0" borderId="0" xfId="5" applyFont="1" applyBorder="1" applyAlignment="1" applyProtection="1">
      <alignment vertical="center" wrapText="1"/>
    </xf>
    <xf numFmtId="0" fontId="12" fillId="22" borderId="48" xfId="5" applyFont="1" applyFill="1" applyBorder="1" applyAlignment="1" applyProtection="1">
      <alignment horizontal="center" vertical="center" wrapText="1"/>
    </xf>
    <xf numFmtId="0" fontId="49" fillId="3" borderId="52" xfId="0" applyFont="1" applyFill="1" applyBorder="1" applyAlignment="1">
      <alignment horizontal="center" vertical="center" wrapText="1"/>
    </xf>
    <xf numFmtId="0" fontId="12" fillId="0" borderId="102" xfId="5" applyFont="1" applyBorder="1" applyAlignment="1" applyProtection="1">
      <alignment vertical="center" wrapText="1"/>
    </xf>
    <xf numFmtId="0" fontId="12" fillId="0" borderId="95" xfId="5" applyFont="1" applyBorder="1" applyAlignment="1" applyProtection="1">
      <alignment vertical="center" wrapText="1"/>
    </xf>
    <xf numFmtId="0" fontId="5" fillId="0" borderId="38" xfId="0" applyFont="1" applyBorder="1" applyAlignment="1" applyProtection="1">
      <alignment vertical="center"/>
    </xf>
    <xf numFmtId="0" fontId="5" fillId="0" borderId="4" xfId="0" applyFont="1" applyBorder="1" applyAlignment="1" applyProtection="1">
      <alignment vertical="center"/>
    </xf>
    <xf numFmtId="0" fontId="13" fillId="0" borderId="0" xfId="5" applyFont="1" applyBorder="1" applyAlignment="1" applyProtection="1">
      <alignment horizontal="center" vertical="center"/>
    </xf>
    <xf numFmtId="0" fontId="49" fillId="3" borderId="20" xfId="0" applyFont="1" applyFill="1" applyBorder="1" applyAlignment="1">
      <alignment horizontal="center" vertical="center" wrapText="1"/>
    </xf>
    <xf numFmtId="0" fontId="0" fillId="0" borderId="95" xfId="0" applyBorder="1" applyAlignment="1">
      <alignment horizontal="center" vertical="center"/>
    </xf>
    <xf numFmtId="4" fontId="0" fillId="0" borderId="95" xfId="1" applyNumberFormat="1" applyFont="1" applyBorder="1" applyAlignment="1">
      <alignment horizontal="center" vertical="center"/>
    </xf>
    <xf numFmtId="0" fontId="4" fillId="0" borderId="100" xfId="5" applyFont="1" applyBorder="1" applyAlignment="1" applyProtection="1">
      <alignment vertical="center" wrapText="1"/>
    </xf>
    <xf numFmtId="0" fontId="4" fillId="0" borderId="0" xfId="5" applyFont="1" applyBorder="1" applyAlignment="1" applyProtection="1">
      <alignment vertical="center" wrapText="1"/>
    </xf>
    <xf numFmtId="0" fontId="4" fillId="0" borderId="104" xfId="5" applyFont="1" applyBorder="1" applyAlignment="1" applyProtection="1">
      <alignment horizontal="center" vertical="center" wrapText="1"/>
    </xf>
    <xf numFmtId="0" fontId="6" fillId="2" borderId="0" xfId="0" applyFont="1" applyFill="1" applyAlignment="1" applyProtection="1">
      <alignment vertical="center"/>
    </xf>
    <xf numFmtId="0" fontId="8"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39" fillId="0" borderId="52" xfId="99" applyFont="1" applyBorder="1" applyAlignment="1" applyProtection="1">
      <alignment horizontal="center" vertical="center" wrapText="1"/>
    </xf>
    <xf numFmtId="0" fontId="7" fillId="3" borderId="52" xfId="0" applyFont="1" applyFill="1" applyBorder="1" applyAlignment="1" applyProtection="1">
      <alignment horizontal="center" vertical="center"/>
    </xf>
    <xf numFmtId="0" fontId="39" fillId="0" borderId="83" xfId="99" applyFont="1" applyBorder="1" applyAlignment="1" applyProtection="1">
      <alignment horizontal="center" vertical="center" wrapText="1"/>
    </xf>
    <xf numFmtId="164" fontId="7" fillId="3" borderId="83" xfId="1" applyNumberFormat="1" applyFont="1" applyFill="1" applyBorder="1" applyAlignment="1" applyProtection="1">
      <alignment horizontal="center" vertical="center"/>
    </xf>
    <xf numFmtId="0" fontId="39" fillId="0" borderId="66" xfId="99" applyFont="1" applyBorder="1" applyAlignment="1" applyProtection="1">
      <alignment horizontal="center" vertical="center" wrapText="1"/>
    </xf>
    <xf numFmtId="0" fontId="9" fillId="2" borderId="0" xfId="0" applyFont="1" applyFill="1" applyAlignment="1" applyProtection="1">
      <alignment horizontal="center" vertical="center"/>
    </xf>
    <xf numFmtId="0" fontId="6" fillId="2" borderId="0" xfId="0" applyFont="1" applyFill="1" applyAlignment="1" applyProtection="1">
      <alignment vertical="center" wrapText="1"/>
    </xf>
    <xf numFmtId="0" fontId="6" fillId="2" borderId="0" xfId="0" applyFont="1" applyFill="1" applyAlignment="1" applyProtection="1">
      <alignment horizontal="center" vertical="center"/>
    </xf>
    <xf numFmtId="164" fontId="6" fillId="2" borderId="0" xfId="1" applyNumberFormat="1" applyFont="1" applyFill="1" applyAlignment="1" applyProtection="1">
      <alignment vertical="center"/>
    </xf>
    <xf numFmtId="44" fontId="6" fillId="2" borderId="0" xfId="2" applyFont="1" applyFill="1" applyAlignment="1" applyProtection="1">
      <alignment vertical="center"/>
    </xf>
    <xf numFmtId="164" fontId="10" fillId="3" borderId="11" xfId="1" applyNumberFormat="1" applyFont="1" applyFill="1" applyBorder="1" applyAlignment="1" applyProtection="1">
      <alignment horizontal="center" vertical="center" wrapText="1"/>
    </xf>
    <xf numFmtId="44" fontId="10" fillId="3" borderId="1" xfId="2" applyFont="1" applyFill="1" applyBorder="1" applyAlignment="1" applyProtection="1">
      <alignment horizontal="center" vertical="center" wrapText="1"/>
    </xf>
    <xf numFmtId="44" fontId="10" fillId="3" borderId="12" xfId="2" applyFont="1" applyFill="1" applyBorder="1" applyAlignment="1" applyProtection="1">
      <alignment horizontal="center" vertical="center" wrapText="1"/>
    </xf>
    <xf numFmtId="49" fontId="7" fillId="4" borderId="11" xfId="0" applyNumberFormat="1" applyFont="1" applyFill="1" applyBorder="1" applyAlignment="1" applyProtection="1">
      <alignment horizontal="center" vertical="center"/>
    </xf>
    <xf numFmtId="49" fontId="7" fillId="4" borderId="1" xfId="0" applyNumberFormat="1" applyFont="1" applyFill="1" applyBorder="1" applyAlignment="1" applyProtection="1">
      <alignment horizontal="left" vertical="center" wrapText="1"/>
    </xf>
    <xf numFmtId="0" fontId="7" fillId="4" borderId="2" xfId="0" applyFont="1" applyFill="1" applyBorder="1" applyAlignment="1" applyProtection="1">
      <alignment horizontal="center" vertical="center" wrapText="1"/>
    </xf>
    <xf numFmtId="0" fontId="7" fillId="2" borderId="0" xfId="0" applyFont="1" applyFill="1" applyAlignment="1" applyProtection="1">
      <alignment vertical="center"/>
    </xf>
    <xf numFmtId="0" fontId="9" fillId="2" borderId="54" xfId="4" applyFont="1" applyFill="1" applyBorder="1" applyAlignment="1" applyProtection="1">
      <alignment horizontal="center" vertical="center"/>
    </xf>
    <xf numFmtId="0" fontId="6" fillId="2" borderId="13" xfId="0" applyFont="1" applyFill="1" applyBorder="1" applyAlignment="1" applyProtection="1">
      <alignment vertical="center" wrapText="1"/>
    </xf>
    <xf numFmtId="0" fontId="6" fillId="2" borderId="43" xfId="0" applyFont="1" applyFill="1" applyBorder="1" applyAlignment="1" applyProtection="1">
      <alignment horizontal="center" vertical="center"/>
    </xf>
    <xf numFmtId="0" fontId="9" fillId="2" borderId="58" xfId="4" applyFont="1" applyFill="1" applyBorder="1" applyAlignment="1" applyProtection="1">
      <alignment horizontal="center" vertical="center"/>
    </xf>
    <xf numFmtId="0" fontId="6" fillId="2" borderId="16" xfId="0" applyFont="1" applyFill="1" applyBorder="1" applyAlignment="1" applyProtection="1">
      <alignment vertical="center" wrapText="1"/>
    </xf>
    <xf numFmtId="0" fontId="6" fillId="2" borderId="51" xfId="0" applyFont="1" applyFill="1" applyBorder="1" applyAlignment="1" applyProtection="1">
      <alignment horizontal="center" vertical="center"/>
    </xf>
    <xf numFmtId="0" fontId="6" fillId="2" borderId="14" xfId="0" applyFont="1" applyFill="1" applyBorder="1" applyAlignment="1" applyProtection="1">
      <alignment vertical="center" wrapText="1"/>
    </xf>
    <xf numFmtId="0" fontId="6" fillId="2" borderId="44" xfId="0" applyFont="1" applyFill="1" applyBorder="1" applyAlignment="1" applyProtection="1">
      <alignment horizontal="center" vertical="center"/>
    </xf>
    <xf numFmtId="0" fontId="9" fillId="2" borderId="60" xfId="4" applyFont="1" applyFill="1" applyBorder="1" applyAlignment="1" applyProtection="1">
      <alignment horizontal="center" vertical="center"/>
    </xf>
    <xf numFmtId="0" fontId="6" fillId="2" borderId="15" xfId="0" applyFont="1" applyFill="1" applyBorder="1" applyAlignment="1" applyProtection="1">
      <alignment vertical="center" wrapText="1"/>
    </xf>
    <xf numFmtId="0" fontId="6" fillId="2" borderId="45" xfId="0" applyFont="1" applyFill="1" applyBorder="1" applyAlignment="1" applyProtection="1">
      <alignment horizontal="center" vertical="center"/>
    </xf>
    <xf numFmtId="0" fontId="6" fillId="5" borderId="13" xfId="0" applyFont="1" applyFill="1" applyBorder="1" applyAlignment="1" applyProtection="1">
      <alignment vertical="center" wrapText="1"/>
    </xf>
    <xf numFmtId="0" fontId="6" fillId="5" borderId="43" xfId="0" applyFont="1" applyFill="1" applyBorder="1" applyAlignment="1" applyProtection="1">
      <alignment horizontal="center" vertical="center"/>
    </xf>
    <xf numFmtId="0" fontId="9" fillId="5" borderId="58" xfId="4" applyFont="1" applyFill="1" applyBorder="1" applyAlignment="1" applyProtection="1">
      <alignment horizontal="center" vertical="center"/>
    </xf>
    <xf numFmtId="0" fontId="6" fillId="5" borderId="14" xfId="0" applyFont="1" applyFill="1" applyBorder="1" applyAlignment="1" applyProtection="1">
      <alignment vertical="center" wrapText="1"/>
    </xf>
    <xf numFmtId="0" fontId="6" fillId="5" borderId="44" xfId="0" applyFont="1" applyFill="1" applyBorder="1" applyAlignment="1" applyProtection="1">
      <alignment horizontal="center" vertical="center"/>
    </xf>
    <xf numFmtId="0" fontId="7" fillId="4" borderId="81" xfId="0" applyFont="1" applyFill="1" applyBorder="1" applyAlignment="1" applyProtection="1">
      <alignment horizontal="center" vertical="center" wrapText="1"/>
    </xf>
    <xf numFmtId="0" fontId="9" fillId="2" borderId="56" xfId="4" applyFont="1" applyFill="1" applyBorder="1" applyAlignment="1" applyProtection="1">
      <alignment horizontal="center" vertical="center"/>
    </xf>
    <xf numFmtId="0" fontId="6" fillId="5" borderId="16" xfId="0" applyFont="1" applyFill="1" applyBorder="1" applyAlignment="1" applyProtection="1">
      <alignment vertical="center" wrapText="1"/>
    </xf>
    <xf numFmtId="0" fontId="6" fillId="5" borderId="51" xfId="0" applyFont="1" applyFill="1" applyBorder="1" applyAlignment="1" applyProtection="1">
      <alignment horizontal="center" vertical="center"/>
    </xf>
    <xf numFmtId="0" fontId="4" fillId="0" borderId="53" xfId="0" applyFont="1" applyBorder="1" applyAlignment="1" applyProtection="1">
      <alignment vertical="center" wrapText="1"/>
      <protection locked="0"/>
    </xf>
    <xf numFmtId="49" fontId="4" fillId="2" borderId="99" xfId="0" applyNumberFormat="1" applyFont="1" applyFill="1" applyBorder="1" applyAlignment="1" applyProtection="1">
      <alignment vertical="center"/>
      <protection locked="0"/>
    </xf>
    <xf numFmtId="49" fontId="4" fillId="2" borderId="67" xfId="0" applyNumberFormat="1" applyFont="1" applyFill="1" applyBorder="1" applyAlignment="1" applyProtection="1">
      <alignment vertical="center"/>
      <protection locked="0"/>
    </xf>
    <xf numFmtId="0" fontId="4" fillId="2" borderId="82" xfId="0" applyFont="1" applyFill="1" applyBorder="1" applyAlignment="1" applyProtection="1">
      <alignment horizontal="right" vertical="center"/>
      <protection locked="0"/>
    </xf>
    <xf numFmtId="0" fontId="4" fillId="2" borderId="99" xfId="0" applyFont="1" applyFill="1" applyBorder="1" applyAlignment="1" applyProtection="1">
      <alignment horizontal="left" vertical="center"/>
      <protection locked="0"/>
    </xf>
    <xf numFmtId="0" fontId="12" fillId="0" borderId="28" xfId="5" applyFont="1" applyBorder="1" applyAlignment="1" applyProtection="1">
      <alignment vertical="center" wrapText="1"/>
      <protection locked="0"/>
    </xf>
    <xf numFmtId="0" fontId="12" fillId="0" borderId="24" xfId="5" applyFont="1" applyBorder="1" applyAlignment="1" applyProtection="1">
      <alignment vertical="center" wrapText="1"/>
      <protection locked="0"/>
    </xf>
    <xf numFmtId="0" fontId="12" fillId="0" borderId="24" xfId="5" applyFont="1" applyBorder="1" applyAlignment="1" applyProtection="1">
      <alignment horizontal="center" vertical="center" wrapText="1"/>
      <protection locked="0"/>
    </xf>
    <xf numFmtId="0" fontId="12" fillId="0" borderId="100" xfId="5" applyFont="1" applyBorder="1" applyAlignment="1" applyProtection="1">
      <alignment vertical="center" wrapText="1"/>
      <protection locked="0"/>
    </xf>
    <xf numFmtId="0" fontId="12" fillId="0" borderId="0" xfId="5" applyFont="1" applyBorder="1" applyAlignment="1" applyProtection="1">
      <alignment vertical="center" wrapText="1"/>
      <protection locked="0"/>
    </xf>
    <xf numFmtId="0" fontId="49" fillId="0" borderId="0" xfId="5" applyFont="1" applyBorder="1" applyAlignment="1" applyProtection="1">
      <alignment horizontal="center" vertical="center" wrapText="1"/>
      <protection locked="0"/>
    </xf>
    <xf numFmtId="0" fontId="54" fillId="0" borderId="0" xfId="5" applyFont="1" applyBorder="1" applyAlignment="1" applyProtection="1">
      <alignment horizontal="right" vertical="center" wrapText="1"/>
      <protection locked="0"/>
    </xf>
    <xf numFmtId="4" fontId="49" fillId="0" borderId="0" xfId="5" applyNumberFormat="1" applyFont="1" applyBorder="1" applyAlignment="1" applyProtection="1">
      <alignment horizontal="center" vertical="center" wrapText="1"/>
      <protection locked="0"/>
    </xf>
    <xf numFmtId="0" fontId="12" fillId="22" borderId="66" xfId="0" applyFont="1" applyFill="1" applyBorder="1" applyAlignment="1" applyProtection="1">
      <alignment horizontal="center" vertical="center" wrapText="1"/>
      <protection locked="0"/>
    </xf>
    <xf numFmtId="10" fontId="4" fillId="0" borderId="12" xfId="3" applyNumberFormat="1" applyFont="1" applyBorder="1" applyAlignment="1" applyProtection="1">
      <alignment horizontal="center" vertical="center"/>
    </xf>
    <xf numFmtId="10" fontId="47" fillId="3" borderId="42" xfId="3" applyNumberFormat="1" applyFont="1" applyFill="1" applyBorder="1" applyAlignment="1" applyProtection="1">
      <alignment horizontal="center" vertical="center"/>
    </xf>
    <xf numFmtId="10" fontId="5" fillId="3" borderId="46" xfId="3" applyNumberFormat="1" applyFont="1" applyFill="1" applyBorder="1" applyAlignment="1" applyProtection="1">
      <alignment horizontal="center" vertical="center"/>
    </xf>
    <xf numFmtId="44" fontId="55" fillId="2" borderId="0" xfId="2" applyFont="1" applyFill="1" applyAlignment="1" applyProtection="1">
      <alignment vertical="center"/>
    </xf>
    <xf numFmtId="4" fontId="56" fillId="2" borderId="0" xfId="0" applyNumberFormat="1" applyFont="1" applyFill="1" applyAlignment="1" applyProtection="1">
      <alignment vertical="center"/>
    </xf>
    <xf numFmtId="4" fontId="12" fillId="0" borderId="24" xfId="5" applyNumberFormat="1" applyFont="1" applyBorder="1" applyAlignment="1" applyProtection="1">
      <alignment horizontal="center" vertical="center" wrapText="1"/>
      <protection locked="0"/>
    </xf>
    <xf numFmtId="4" fontId="12" fillId="0" borderId="31" xfId="5" applyNumberFormat="1" applyFont="1" applyBorder="1" applyAlignment="1" applyProtection="1">
      <alignment horizontal="center" vertical="center" wrapText="1"/>
      <protection locked="0"/>
    </xf>
    <xf numFmtId="4" fontId="12" fillId="0" borderId="101" xfId="5" applyNumberFormat="1" applyFont="1" applyBorder="1" applyAlignment="1" applyProtection="1">
      <alignment horizontal="center" vertical="center" wrapText="1"/>
      <protection locked="0"/>
    </xf>
    <xf numFmtId="4" fontId="12" fillId="0" borderId="0" xfId="5" applyNumberFormat="1" applyFont="1" applyBorder="1" applyAlignment="1" applyProtection="1">
      <alignment horizontal="center" vertical="center" wrapText="1"/>
      <protection locked="0"/>
    </xf>
    <xf numFmtId="4" fontId="49" fillId="0" borderId="0" xfId="5" applyNumberFormat="1" applyFont="1" applyBorder="1" applyAlignment="1" applyProtection="1">
      <alignment horizontal="center" vertical="center"/>
      <protection locked="0"/>
    </xf>
    <xf numFmtId="4" fontId="12" fillId="0" borderId="0" xfId="5" applyNumberFormat="1" applyFont="1" applyBorder="1" applyAlignment="1" applyProtection="1">
      <alignment vertical="center" wrapText="1"/>
      <protection locked="0"/>
    </xf>
    <xf numFmtId="4" fontId="12" fillId="0" borderId="101" xfId="5" applyNumberFormat="1" applyFont="1" applyBorder="1" applyAlignment="1" applyProtection="1">
      <alignment vertical="center" wrapText="1"/>
      <protection locked="0"/>
    </xf>
    <xf numFmtId="4" fontId="12" fillId="0" borderId="0" xfId="5" applyNumberFormat="1" applyFont="1" applyBorder="1" applyAlignment="1" applyProtection="1">
      <alignment vertical="center" wrapText="1"/>
    </xf>
    <xf numFmtId="4" fontId="12" fillId="0" borderId="101" xfId="5" applyNumberFormat="1" applyFont="1" applyBorder="1" applyAlignment="1" applyProtection="1">
      <alignment vertical="center" wrapText="1"/>
    </xf>
    <xf numFmtId="4" fontId="12" fillId="0" borderId="95" xfId="5" applyNumberFormat="1" applyFont="1" applyBorder="1" applyAlignment="1" applyProtection="1">
      <alignment vertical="center" wrapText="1"/>
    </xf>
    <xf numFmtId="4" fontId="12" fillId="0" borderId="98" xfId="5" applyNumberFormat="1" applyFont="1" applyBorder="1" applyAlignment="1" applyProtection="1">
      <alignment vertical="center" wrapText="1"/>
    </xf>
    <xf numFmtId="44" fontId="57" fillId="2" borderId="0" xfId="2" applyFont="1" applyFill="1" applyAlignment="1" applyProtection="1">
      <alignment vertical="center"/>
    </xf>
    <xf numFmtId="174" fontId="7" fillId="2" borderId="0" xfId="0" applyNumberFormat="1" applyFont="1" applyFill="1" applyAlignment="1" applyProtection="1">
      <alignment vertical="center"/>
    </xf>
    <xf numFmtId="175" fontId="7" fillId="4" borderId="11" xfId="0" applyNumberFormat="1" applyFont="1" applyFill="1" applyBorder="1" applyAlignment="1" applyProtection="1">
      <alignment horizontal="center" vertical="center" wrapText="1"/>
    </xf>
    <xf numFmtId="175" fontId="7" fillId="4" borderId="1" xfId="1" applyNumberFormat="1" applyFont="1" applyFill="1" applyBorder="1" applyAlignment="1" applyProtection="1">
      <alignment horizontal="center" vertical="center" wrapText="1"/>
    </xf>
    <xf numFmtId="175" fontId="7" fillId="4" borderId="12" xfId="1" applyNumberFormat="1" applyFont="1" applyFill="1" applyBorder="1" applyAlignment="1" applyProtection="1">
      <alignment horizontal="right" vertical="center" wrapText="1"/>
    </xf>
    <xf numFmtId="175" fontId="7" fillId="4" borderId="11" xfId="1" applyNumberFormat="1" applyFont="1" applyFill="1" applyBorder="1" applyAlignment="1" applyProtection="1">
      <alignment horizontal="right" vertical="center" wrapText="1"/>
    </xf>
    <xf numFmtId="175" fontId="6" fillId="2" borderId="54" xfId="1" applyNumberFormat="1" applyFont="1" applyFill="1" applyBorder="1" applyAlignment="1" applyProtection="1">
      <alignment horizontal="right" vertical="center"/>
    </xf>
    <xf numFmtId="175" fontId="6" fillId="2" borderId="13" xfId="2" applyNumberFormat="1" applyFont="1" applyFill="1" applyBorder="1" applyAlignment="1" applyProtection="1">
      <alignment horizontal="right" vertical="center"/>
    </xf>
    <xf numFmtId="175" fontId="6" fillId="2" borderId="55" xfId="2" applyNumberFormat="1" applyFont="1" applyFill="1" applyBorder="1" applyAlignment="1" applyProtection="1">
      <alignment horizontal="right" vertical="center"/>
    </xf>
    <xf numFmtId="175" fontId="6" fillId="2" borderId="41" xfId="1" applyNumberFormat="1" applyFont="1" applyFill="1" applyBorder="1" applyAlignment="1" applyProtection="1">
      <alignment horizontal="right" vertical="center"/>
    </xf>
    <xf numFmtId="175" fontId="6" fillId="2" borderId="56" xfId="1" applyNumberFormat="1" applyFont="1" applyFill="1" applyBorder="1" applyAlignment="1" applyProtection="1">
      <alignment horizontal="right" vertical="center"/>
    </xf>
    <xf numFmtId="175" fontId="6" fillId="2" borderId="16" xfId="2" applyNumberFormat="1" applyFont="1" applyFill="1" applyBorder="1" applyAlignment="1" applyProtection="1">
      <alignment horizontal="right" vertical="center"/>
    </xf>
    <xf numFmtId="175" fontId="6" fillId="2" borderId="59" xfId="2" applyNumberFormat="1" applyFont="1" applyFill="1" applyBorder="1" applyAlignment="1" applyProtection="1">
      <alignment horizontal="right" vertical="center"/>
    </xf>
    <xf numFmtId="175" fontId="6" fillId="2" borderId="58" xfId="1" applyNumberFormat="1" applyFont="1" applyFill="1" applyBorder="1" applyAlignment="1" applyProtection="1">
      <alignment horizontal="right" vertical="center"/>
    </xf>
    <xf numFmtId="175" fontId="6" fillId="2" borderId="14" xfId="2" applyNumberFormat="1" applyFont="1" applyFill="1" applyBorder="1" applyAlignment="1" applyProtection="1">
      <alignment horizontal="right" vertical="center"/>
    </xf>
    <xf numFmtId="175" fontId="6" fillId="2" borderId="60" xfId="1" applyNumberFormat="1" applyFont="1" applyFill="1" applyBorder="1" applyAlignment="1" applyProtection="1">
      <alignment horizontal="right" vertical="center"/>
    </xf>
    <xf numFmtId="175" fontId="6" fillId="2" borderId="15" xfId="2" applyNumberFormat="1" applyFont="1" applyFill="1" applyBorder="1" applyAlignment="1" applyProtection="1">
      <alignment horizontal="right" vertical="center"/>
    </xf>
    <xf numFmtId="175" fontId="7" fillId="4" borderId="11" xfId="0" applyNumberFormat="1" applyFont="1" applyFill="1" applyBorder="1" applyAlignment="1" applyProtection="1">
      <alignment horizontal="right" vertical="center" wrapText="1"/>
    </xf>
    <xf numFmtId="175" fontId="7" fillId="4" borderId="1" xfId="1" applyNumberFormat="1" applyFont="1" applyFill="1" applyBorder="1" applyAlignment="1" applyProtection="1">
      <alignment horizontal="right" vertical="center" wrapText="1"/>
    </xf>
    <xf numFmtId="175" fontId="6" fillId="5" borderId="54" xfId="1" applyNumberFormat="1" applyFont="1" applyFill="1" applyBorder="1" applyAlignment="1" applyProtection="1">
      <alignment horizontal="right" vertical="center"/>
    </xf>
    <xf numFmtId="175" fontId="6" fillId="5" borderId="13" xfId="2" applyNumberFormat="1" applyFont="1" applyFill="1" applyBorder="1" applyAlignment="1" applyProtection="1">
      <alignment horizontal="right" vertical="center"/>
    </xf>
    <xf numFmtId="175" fontId="6" fillId="5" borderId="55" xfId="2" applyNumberFormat="1" applyFont="1" applyFill="1" applyBorder="1" applyAlignment="1" applyProtection="1">
      <alignment horizontal="right" vertical="center"/>
    </xf>
    <xf numFmtId="175" fontId="6" fillId="5" borderId="58" xfId="1" applyNumberFormat="1" applyFont="1" applyFill="1" applyBorder="1" applyAlignment="1" applyProtection="1">
      <alignment horizontal="right" vertical="center"/>
    </xf>
    <xf numFmtId="175" fontId="6" fillId="5" borderId="14" xfId="2" applyNumberFormat="1" applyFont="1" applyFill="1" applyBorder="1" applyAlignment="1" applyProtection="1">
      <alignment horizontal="right" vertical="center"/>
    </xf>
    <xf numFmtId="175" fontId="6" fillId="5" borderId="59" xfId="2" applyNumberFormat="1" applyFont="1" applyFill="1" applyBorder="1" applyAlignment="1" applyProtection="1">
      <alignment horizontal="right" vertical="center"/>
    </xf>
    <xf numFmtId="175" fontId="6" fillId="5" borderId="56" xfId="1" applyNumberFormat="1" applyFont="1" applyFill="1" applyBorder="1" applyAlignment="1" applyProtection="1">
      <alignment horizontal="right" vertical="center"/>
    </xf>
    <xf numFmtId="175" fontId="6" fillId="5" borderId="16" xfId="2" applyNumberFormat="1" applyFont="1" applyFill="1" applyBorder="1" applyAlignment="1" applyProtection="1">
      <alignment horizontal="right" vertical="center"/>
    </xf>
    <xf numFmtId="175" fontId="6" fillId="5" borderId="57" xfId="2" applyNumberFormat="1" applyFont="1" applyFill="1" applyBorder="1" applyAlignment="1" applyProtection="1">
      <alignment horizontal="right" vertical="center"/>
    </xf>
    <xf numFmtId="176" fontId="7" fillId="4" borderId="63" xfId="0" applyNumberFormat="1" applyFont="1" applyFill="1" applyBorder="1" applyAlignment="1" applyProtection="1">
      <alignment vertical="center"/>
    </xf>
    <xf numFmtId="176" fontId="6" fillId="2" borderId="64" xfId="3" applyNumberFormat="1" applyFont="1" applyFill="1" applyBorder="1" applyAlignment="1" applyProtection="1">
      <alignment horizontal="center" vertical="center"/>
    </xf>
    <xf numFmtId="176" fontId="6" fillId="2" borderId="65" xfId="3" applyNumberFormat="1" applyFont="1" applyFill="1" applyBorder="1" applyAlignment="1" applyProtection="1">
      <alignment horizontal="center" vertical="center"/>
    </xf>
    <xf numFmtId="176" fontId="6" fillId="4" borderId="63" xfId="3" applyNumberFormat="1" applyFont="1" applyFill="1" applyBorder="1" applyAlignment="1" applyProtection="1">
      <alignment horizontal="center" vertical="center"/>
    </xf>
    <xf numFmtId="176" fontId="6" fillId="5" borderId="65" xfId="3" applyNumberFormat="1" applyFont="1" applyFill="1" applyBorder="1" applyAlignment="1" applyProtection="1">
      <alignment horizontal="center" vertical="center"/>
    </xf>
    <xf numFmtId="0" fontId="9" fillId="0" borderId="58" xfId="4"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175" fontId="6" fillId="0" borderId="56" xfId="1" applyNumberFormat="1" applyFont="1" applyFill="1" applyBorder="1" applyAlignment="1" applyProtection="1">
      <alignment horizontal="right" vertical="center"/>
    </xf>
    <xf numFmtId="175" fontId="6" fillId="0" borderId="16" xfId="2" applyNumberFormat="1" applyFont="1" applyFill="1" applyBorder="1" applyAlignment="1" applyProtection="1">
      <alignment horizontal="right" vertical="center"/>
    </xf>
    <xf numFmtId="175" fontId="6" fillId="0" borderId="59" xfId="2" applyNumberFormat="1" applyFont="1" applyFill="1" applyBorder="1" applyAlignment="1" applyProtection="1">
      <alignment horizontal="right" vertical="center"/>
    </xf>
    <xf numFmtId="175" fontId="6" fillId="0" borderId="58" xfId="1" applyNumberFormat="1" applyFont="1" applyFill="1" applyBorder="1" applyAlignment="1" applyProtection="1">
      <alignment horizontal="right" vertical="center"/>
    </xf>
    <xf numFmtId="176" fontId="6" fillId="0" borderId="65" xfId="3" applyNumberFormat="1" applyFont="1" applyFill="1" applyBorder="1" applyAlignment="1" applyProtection="1">
      <alignment horizontal="center" vertical="center"/>
    </xf>
    <xf numFmtId="0" fontId="6" fillId="0" borderId="0" xfId="0" applyFont="1" applyFill="1" applyAlignment="1" applyProtection="1">
      <alignment vertical="center"/>
    </xf>
    <xf numFmtId="4" fontId="56" fillId="0" borderId="0" xfId="0" applyNumberFormat="1" applyFont="1" applyFill="1" applyAlignment="1" applyProtection="1">
      <alignment vertical="center"/>
    </xf>
    <xf numFmtId="0" fontId="49" fillId="3" borderId="20" xfId="0" applyFont="1" applyFill="1" applyBorder="1" applyAlignment="1">
      <alignment horizontal="center" vertical="center" wrapText="1"/>
    </xf>
    <xf numFmtId="0" fontId="12" fillId="0" borderId="0" xfId="5" applyFont="1" applyAlignment="1" applyProtection="1">
      <alignment horizontal="center" vertical="center" wrapText="1"/>
    </xf>
    <xf numFmtId="0" fontId="12" fillId="0" borderId="100" xfId="5" applyFont="1" applyBorder="1" applyAlignment="1" applyProtection="1">
      <alignment horizontal="right" vertical="top" wrapText="1"/>
      <protection locked="0"/>
    </xf>
    <xf numFmtId="4" fontId="12" fillId="0" borderId="0" xfId="5" applyNumberFormat="1" applyFont="1" applyBorder="1" applyAlignment="1" applyProtection="1">
      <alignment horizontal="center" vertical="center"/>
      <protection locked="0"/>
    </xf>
    <xf numFmtId="4" fontId="49" fillId="0" borderId="0" xfId="5" applyNumberFormat="1"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54" fillId="0" borderId="0" xfId="5" applyFont="1" applyBorder="1" applyAlignment="1" applyProtection="1">
      <alignment horizontal="right" vertical="center" wrapText="1"/>
      <protection locked="0"/>
    </xf>
    <xf numFmtId="0" fontId="12" fillId="0" borderId="0" xfId="5" applyFont="1" applyBorder="1" applyAlignment="1" applyProtection="1">
      <alignment horizontal="left" vertical="center" wrapText="1"/>
      <protection locked="0"/>
    </xf>
    <xf numFmtId="0" fontId="12" fillId="0" borderId="0" xfId="5" applyFont="1" applyBorder="1" applyAlignment="1" applyProtection="1">
      <alignment horizontal="center" vertical="center" wrapText="1"/>
      <protection locked="0"/>
    </xf>
    <xf numFmtId="2" fontId="12" fillId="0" borderId="0" xfId="5" applyNumberFormat="1" applyFont="1" applyBorder="1" applyAlignment="1" applyProtection="1">
      <alignment horizontal="center" vertical="center"/>
      <protection locked="0"/>
    </xf>
    <xf numFmtId="0" fontId="12" fillId="0" borderId="0" xfId="5" applyFont="1" applyBorder="1" applyAlignment="1" applyProtection="1">
      <alignment horizontal="center" vertical="center"/>
      <protection locked="0"/>
    </xf>
    <xf numFmtId="175" fontId="6" fillId="2" borderId="109" xfId="1" applyNumberFormat="1" applyFont="1" applyFill="1" applyBorder="1" applyAlignment="1" applyProtection="1">
      <alignment horizontal="right" vertical="center"/>
    </xf>
    <xf numFmtId="175" fontId="6" fillId="2" borderId="111" xfId="2" applyNumberFormat="1" applyFont="1" applyFill="1" applyBorder="1" applyAlignment="1" applyProtection="1">
      <alignment horizontal="right" vertical="center"/>
    </xf>
    <xf numFmtId="0" fontId="9" fillId="0" borderId="54" xfId="4" applyFont="1" applyFill="1" applyBorder="1" applyAlignment="1" applyProtection="1">
      <alignment horizontal="center" vertical="center"/>
    </xf>
    <xf numFmtId="0" fontId="6" fillId="0" borderId="13" xfId="0" applyFont="1" applyFill="1" applyBorder="1" applyAlignment="1" applyProtection="1">
      <alignment vertical="center" wrapText="1"/>
    </xf>
    <xf numFmtId="0" fontId="6" fillId="0" borderId="43" xfId="0" applyFont="1" applyFill="1" applyBorder="1" applyAlignment="1" applyProtection="1">
      <alignment horizontal="center" vertical="center"/>
    </xf>
    <xf numFmtId="175" fontId="6" fillId="0" borderId="54" xfId="1" applyNumberFormat="1" applyFont="1" applyFill="1" applyBorder="1" applyAlignment="1" applyProtection="1">
      <alignment horizontal="right" vertical="center"/>
    </xf>
    <xf numFmtId="175" fontId="6" fillId="0" borderId="13" xfId="2" applyNumberFormat="1" applyFont="1" applyFill="1" applyBorder="1" applyAlignment="1" applyProtection="1">
      <alignment horizontal="right" vertical="center"/>
    </xf>
    <xf numFmtId="0" fontId="6" fillId="0" borderId="14" xfId="0" applyFont="1" applyFill="1" applyBorder="1" applyAlignment="1" applyProtection="1">
      <alignment vertical="center" wrapText="1"/>
    </xf>
    <xf numFmtId="0" fontId="6" fillId="0" borderId="44" xfId="0" applyFont="1" applyFill="1" applyBorder="1" applyAlignment="1" applyProtection="1">
      <alignment horizontal="center" vertical="center"/>
    </xf>
    <xf numFmtId="175" fontId="6" fillId="0" borderId="14" xfId="2" applyNumberFormat="1" applyFont="1" applyFill="1" applyBorder="1" applyAlignment="1" applyProtection="1">
      <alignment horizontal="right" vertical="center"/>
    </xf>
    <xf numFmtId="175" fontId="6" fillId="5" borderId="115" xfId="2" applyNumberFormat="1" applyFont="1" applyFill="1" applyBorder="1" applyAlignment="1" applyProtection="1">
      <alignment horizontal="right" vertical="center"/>
    </xf>
    <xf numFmtId="2" fontId="12" fillId="0" borderId="0" xfId="5" applyNumberFormat="1" applyFont="1" applyBorder="1" applyAlignment="1" applyProtection="1">
      <alignment vertical="center"/>
      <protection locked="0"/>
    </xf>
    <xf numFmtId="0" fontId="12" fillId="0" borderId="0" xfId="5" applyFont="1" applyBorder="1" applyAlignment="1" applyProtection="1">
      <alignment vertical="center"/>
      <protection locked="0"/>
    </xf>
    <xf numFmtId="4" fontId="12" fillId="0" borderId="0" xfId="5" applyNumberFormat="1" applyFont="1" applyBorder="1" applyAlignment="1" applyProtection="1">
      <alignment vertical="center"/>
      <protection locked="0"/>
    </xf>
    <xf numFmtId="0" fontId="49" fillId="3" borderId="20" xfId="0" applyFont="1" applyFill="1" applyBorder="1" applyAlignment="1">
      <alignment horizontal="center" vertical="center" wrapText="1"/>
    </xf>
    <xf numFmtId="0" fontId="12" fillId="0" borderId="0" xfId="5" applyFont="1" applyAlignment="1">
      <alignment vertical="center" wrapText="1"/>
    </xf>
    <xf numFmtId="0" fontId="12" fillId="0" borderId="0" xfId="5" applyFont="1" applyAlignment="1">
      <alignment horizontal="center" vertical="center" wrapText="1"/>
    </xf>
    <xf numFmtId="0" fontId="12" fillId="0" borderId="0" xfId="5" applyFont="1" applyAlignment="1">
      <alignment horizontal="left" vertical="center" wrapText="1"/>
    </xf>
    <xf numFmtId="4" fontId="12" fillId="0" borderId="0" xfId="5" applyNumberFormat="1" applyFont="1" applyAlignment="1">
      <alignment horizontal="center" vertical="center" wrapText="1"/>
    </xf>
    <xf numFmtId="0" fontId="54" fillId="0" borderId="0" xfId="5" applyFont="1" applyAlignment="1">
      <alignment horizontal="right" vertical="center" wrapText="1"/>
    </xf>
    <xf numFmtId="0" fontId="49" fillId="0" borderId="0" xfId="5" applyFont="1" applyAlignment="1">
      <alignment horizontal="center" vertical="center" wrapText="1"/>
    </xf>
    <xf numFmtId="4" fontId="49" fillId="0" borderId="0" xfId="5" applyNumberFormat="1" applyFont="1" applyAlignment="1">
      <alignment horizontal="center" vertical="center" wrapText="1"/>
    </xf>
    <xf numFmtId="4" fontId="49" fillId="0" borderId="0" xfId="5" applyNumberFormat="1" applyFont="1" applyAlignment="1">
      <alignment horizontal="center" vertical="center"/>
    </xf>
    <xf numFmtId="0" fontId="61" fillId="0" borderId="0" xfId="5" applyFont="1" applyAlignment="1">
      <alignment horizontal="center" vertical="center"/>
    </xf>
    <xf numFmtId="0" fontId="54" fillId="0" borderId="0" xfId="5" applyFont="1" applyBorder="1" applyAlignment="1" applyProtection="1">
      <alignment vertical="center" wrapText="1"/>
      <protection locked="0"/>
    </xf>
    <xf numFmtId="4" fontId="49" fillId="0" borderId="0" xfId="5" applyNumberFormat="1" applyFont="1" applyBorder="1" applyAlignment="1" applyProtection="1">
      <alignment vertical="center" wrapText="1"/>
      <protection locked="0"/>
    </xf>
    <xf numFmtId="0" fontId="49" fillId="0" borderId="0" xfId="5" applyFont="1" applyBorder="1" applyAlignment="1" applyProtection="1">
      <alignment vertical="center" wrapText="1"/>
      <protection locked="0"/>
    </xf>
    <xf numFmtId="43" fontId="12" fillId="0" borderId="0" xfId="1" applyFont="1" applyBorder="1" applyAlignment="1" applyProtection="1">
      <alignment horizontal="center" vertical="center" wrapText="1"/>
      <protection locked="0"/>
    </xf>
    <xf numFmtId="4" fontId="12" fillId="0" borderId="0" xfId="5" applyNumberFormat="1" applyFont="1" applyBorder="1" applyAlignment="1" applyProtection="1">
      <alignment horizontal="right" vertical="center"/>
      <protection locked="0"/>
    </xf>
    <xf numFmtId="4" fontId="49" fillId="0" borderId="0" xfId="5" applyNumberFormat="1" applyFont="1" applyBorder="1" applyAlignment="1" applyProtection="1">
      <alignment vertical="center"/>
      <protection locked="0"/>
    </xf>
    <xf numFmtId="4" fontId="49" fillId="0" borderId="101" xfId="5" applyNumberFormat="1" applyFont="1" applyBorder="1" applyAlignment="1" applyProtection="1">
      <alignment horizontal="center" vertical="center" wrapText="1"/>
      <protection locked="0"/>
    </xf>
    <xf numFmtId="0" fontId="12" fillId="0" borderId="101" xfId="5" applyFont="1" applyBorder="1" applyAlignment="1" applyProtection="1">
      <alignment vertical="center" wrapText="1"/>
      <protection locked="0"/>
    </xf>
    <xf numFmtId="4" fontId="12" fillId="0" borderId="0" xfId="5" applyNumberFormat="1" applyFont="1" applyAlignment="1">
      <alignment vertical="center"/>
    </xf>
    <xf numFmtId="2" fontId="12" fillId="0" borderId="0" xfId="5" applyNumberFormat="1" applyFont="1" applyAlignment="1">
      <alignment vertical="center"/>
    </xf>
    <xf numFmtId="0" fontId="12" fillId="0" borderId="0" xfId="5" applyFont="1" applyAlignment="1">
      <alignment vertical="center"/>
    </xf>
    <xf numFmtId="0" fontId="49" fillId="0" borderId="0" xfId="5" applyFont="1" applyAlignment="1">
      <alignment horizontal="center" vertical="center"/>
    </xf>
    <xf numFmtId="2" fontId="12" fillId="0" borderId="0" xfId="5" applyNumberFormat="1" applyFont="1" applyBorder="1" applyAlignment="1" applyProtection="1">
      <alignment vertical="center" wrapText="1"/>
      <protection locked="0"/>
    </xf>
    <xf numFmtId="0" fontId="12" fillId="0" borderId="0" xfId="5" applyFont="1" applyBorder="1" applyAlignment="1" applyProtection="1">
      <alignment horizontal="center" vertical="center" wrapText="1"/>
      <protection locked="0"/>
    </xf>
    <xf numFmtId="0" fontId="54" fillId="0" borderId="0" xfId="5" applyFont="1" applyBorder="1" applyAlignment="1" applyProtection="1">
      <alignment horizontal="right" vertical="center" wrapText="1"/>
      <protection locked="0"/>
    </xf>
    <xf numFmtId="4" fontId="49" fillId="0" borderId="0" xfId="5" applyNumberFormat="1"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12" fillId="0" borderId="0" xfId="5" applyFont="1" applyAlignment="1" applyProtection="1">
      <alignment vertical="top" wrapText="1"/>
      <protection locked="0"/>
    </xf>
    <xf numFmtId="2" fontId="12" fillId="0" borderId="0" xfId="5" applyNumberFormat="1" applyFont="1" applyAlignment="1" applyProtection="1">
      <alignment vertical="top" wrapText="1"/>
      <protection locked="0"/>
    </xf>
    <xf numFmtId="2" fontId="49" fillId="0" borderId="0" xfId="5" applyNumberFormat="1" applyFont="1" applyAlignment="1" applyProtection="1">
      <alignment vertical="top" wrapText="1"/>
      <protection locked="0"/>
    </xf>
    <xf numFmtId="0" fontId="54" fillId="0" borderId="0" xfId="5" applyFont="1" applyAlignment="1">
      <alignment vertical="center" wrapText="1"/>
    </xf>
    <xf numFmtId="2" fontId="49" fillId="0" borderId="0" xfId="5" applyNumberFormat="1" applyFont="1" applyBorder="1" applyAlignment="1" applyProtection="1">
      <alignment vertical="center"/>
      <protection locked="0"/>
    </xf>
    <xf numFmtId="0" fontId="12" fillId="0" borderId="100" xfId="5" applyFont="1" applyBorder="1" applyAlignment="1" applyProtection="1">
      <alignment vertical="top" wrapText="1"/>
      <protection locked="0"/>
    </xf>
    <xf numFmtId="4" fontId="12" fillId="0" borderId="101" xfId="5" applyNumberFormat="1" applyFont="1" applyBorder="1" applyAlignment="1" applyProtection="1">
      <alignment horizontal="left" vertical="center" wrapText="1"/>
      <protection locked="0"/>
    </xf>
    <xf numFmtId="2" fontId="49" fillId="0" borderId="0" xfId="5" applyNumberFormat="1" applyFont="1" applyBorder="1" applyAlignment="1" applyProtection="1">
      <alignment horizontal="right" vertical="center" wrapText="1"/>
      <protection locked="0"/>
    </xf>
    <xf numFmtId="0" fontId="49" fillId="0" borderId="0" xfId="5" applyFont="1"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12" fillId="0" borderId="100" xfId="5" applyFont="1" applyBorder="1" applyAlignment="1" applyProtection="1">
      <alignment horizontal="right" vertical="top" wrapText="1"/>
      <protection locked="0"/>
    </xf>
    <xf numFmtId="2" fontId="49" fillId="0" borderId="0" xfId="5" applyNumberFormat="1" applyFont="1" applyBorder="1" applyAlignment="1" applyProtection="1">
      <alignment vertical="center" wrapText="1"/>
      <protection locked="0"/>
    </xf>
    <xf numFmtId="0" fontId="12" fillId="0" borderId="100" xfId="5" applyFont="1" applyBorder="1" applyAlignment="1" applyProtection="1">
      <alignment vertical="center"/>
      <protection locked="0"/>
    </xf>
    <xf numFmtId="0" fontId="49" fillId="0" borderId="0" xfId="5" applyFont="1" applyBorder="1" applyAlignment="1" applyProtection="1">
      <alignment horizontal="center" vertical="center"/>
      <protection locked="0"/>
    </xf>
    <xf numFmtId="0" fontId="3" fillId="0" borderId="0" xfId="5" applyFont="1" applyBorder="1" applyAlignment="1" applyProtection="1">
      <alignment vertical="center" wrapText="1"/>
      <protection locked="0"/>
    </xf>
    <xf numFmtId="4" fontId="3" fillId="0" borderId="0" xfId="5" applyNumberFormat="1" applyFont="1" applyBorder="1" applyAlignment="1" applyProtection="1">
      <alignment vertical="center"/>
      <protection locked="0"/>
    </xf>
    <xf numFmtId="4" fontId="3" fillId="0" borderId="101" xfId="5" applyNumberFormat="1" applyFont="1" applyBorder="1" applyAlignment="1" applyProtection="1">
      <alignment horizontal="center" vertical="center" wrapText="1"/>
      <protection locked="0"/>
    </xf>
    <xf numFmtId="4" fontId="3" fillId="0" borderId="0" xfId="5" applyNumberFormat="1" applyFont="1" applyBorder="1" applyAlignment="1" applyProtection="1">
      <alignment horizontal="center" vertical="center" wrapText="1"/>
      <protection locked="0"/>
    </xf>
    <xf numFmtId="2" fontId="3" fillId="0" borderId="0" xfId="5" applyNumberFormat="1" applyFont="1" applyBorder="1" applyAlignment="1" applyProtection="1">
      <alignment vertical="center"/>
      <protection locked="0"/>
    </xf>
    <xf numFmtId="0" fontId="3" fillId="0" borderId="0" xfId="5" applyFont="1" applyBorder="1" applyAlignment="1" applyProtection="1">
      <alignment vertical="center"/>
      <protection locked="0"/>
    </xf>
    <xf numFmtId="0" fontId="63" fillId="0" borderId="0" xfId="5" applyFont="1" applyBorder="1" applyAlignment="1" applyProtection="1">
      <alignment vertical="center" wrapText="1"/>
      <protection locked="0"/>
    </xf>
    <xf numFmtId="4" fontId="59" fillId="0" borderId="0" xfId="5" applyNumberFormat="1" applyFont="1" applyBorder="1" applyAlignment="1" applyProtection="1">
      <alignment vertical="center" wrapText="1"/>
      <protection locked="0"/>
    </xf>
    <xf numFmtId="0" fontId="59" fillId="0" borderId="0" xfId="5" applyFont="1" applyBorder="1" applyAlignment="1" applyProtection="1">
      <alignment vertical="center" wrapText="1"/>
      <protection locked="0"/>
    </xf>
    <xf numFmtId="4" fontId="59" fillId="0" borderId="0" xfId="5" applyNumberFormat="1" applyFont="1" applyBorder="1" applyAlignment="1" applyProtection="1">
      <alignment horizontal="center" vertical="center"/>
      <protection locked="0"/>
    </xf>
    <xf numFmtId="0" fontId="63" fillId="0" borderId="0" xfId="5" applyFont="1" applyBorder="1" applyAlignment="1" applyProtection="1">
      <alignment horizontal="right" vertical="center" wrapText="1"/>
      <protection locked="0"/>
    </xf>
    <xf numFmtId="4" fontId="59" fillId="0" borderId="0" xfId="5" applyNumberFormat="1" applyFont="1" applyBorder="1" applyAlignment="1" applyProtection="1">
      <alignment horizontal="center" vertical="center" wrapText="1"/>
      <protection locked="0"/>
    </xf>
    <xf numFmtId="4" fontId="3" fillId="0" borderId="0" xfId="5" applyNumberFormat="1" applyFont="1" applyBorder="1" applyAlignment="1" applyProtection="1">
      <alignment vertical="center" wrapText="1"/>
      <protection locked="0"/>
    </xf>
    <xf numFmtId="4" fontId="3" fillId="0" borderId="101" xfId="5" applyNumberFormat="1" applyFont="1" applyBorder="1" applyAlignment="1" applyProtection="1">
      <alignment vertical="center" wrapText="1"/>
      <protection locked="0"/>
    </xf>
    <xf numFmtId="2" fontId="59" fillId="0" borderId="0" xfId="5" applyNumberFormat="1" applyFont="1" applyBorder="1" applyAlignment="1" applyProtection="1">
      <alignment horizontal="center" vertical="center" wrapText="1"/>
      <protection locked="0"/>
    </xf>
    <xf numFmtId="0" fontId="12" fillId="0" borderId="113" xfId="5" applyFont="1" applyBorder="1" applyAlignment="1">
      <alignment horizontal="center" vertical="center" wrapText="1"/>
    </xf>
    <xf numFmtId="0" fontId="12" fillId="0" borderId="10" xfId="5" applyFont="1" applyBorder="1" applyAlignment="1">
      <alignment horizontal="center" vertical="center" wrapText="1"/>
    </xf>
    <xf numFmtId="0" fontId="60" fillId="0" borderId="110" xfId="5" applyFont="1" applyBorder="1" applyAlignment="1">
      <alignment horizontal="center" vertical="center" wrapText="1"/>
    </xf>
    <xf numFmtId="0" fontId="60" fillId="0" borderId="110" xfId="5" applyFont="1" applyBorder="1" applyAlignment="1">
      <alignment vertical="center" wrapText="1"/>
    </xf>
    <xf numFmtId="2" fontId="49" fillId="0" borderId="0" xfId="5" applyNumberFormat="1" applyFont="1" applyAlignment="1">
      <alignment horizontal="center" vertical="center"/>
    </xf>
    <xf numFmtId="0" fontId="12" fillId="0" borderId="0" xfId="5" applyFont="1" applyAlignment="1">
      <alignment horizontal="center" vertical="center" wrapText="1"/>
    </xf>
    <xf numFmtId="0" fontId="4" fillId="0" borderId="0" xfId="5" applyFont="1" applyBorder="1" applyAlignment="1" applyProtection="1">
      <alignment horizontal="center" vertical="center" wrapText="1"/>
    </xf>
    <xf numFmtId="0" fontId="12" fillId="0" borderId="0" xfId="5" applyFont="1" applyBorder="1" applyAlignment="1" applyProtection="1">
      <alignment vertical="top" wrapText="1"/>
      <protection locked="0"/>
    </xf>
    <xf numFmtId="0" fontId="12" fillId="0" borderId="101" xfId="5" applyFont="1" applyBorder="1" applyAlignment="1" applyProtection="1">
      <alignment vertical="top" wrapText="1"/>
      <protection locked="0"/>
    </xf>
    <xf numFmtId="0" fontId="49" fillId="0" borderId="100" xfId="5" applyFont="1" applyBorder="1" applyAlignment="1" applyProtection="1">
      <alignment vertical="center"/>
      <protection locked="0"/>
    </xf>
    <xf numFmtId="0" fontId="59" fillId="0" borderId="15" xfId="5" applyFont="1" applyBorder="1" applyAlignment="1" applyProtection="1">
      <alignment horizontal="left" vertical="center" wrapText="1"/>
      <protection locked="0"/>
    </xf>
    <xf numFmtId="0" fontId="3" fillId="0" borderId="100" xfId="5" applyFont="1" applyBorder="1" applyAlignment="1" applyProtection="1">
      <alignment vertical="center" wrapText="1"/>
      <protection locked="0"/>
    </xf>
    <xf numFmtId="0" fontId="59" fillId="0" borderId="15" xfId="5" applyFont="1" applyBorder="1" applyAlignment="1" applyProtection="1">
      <alignment vertical="center" wrapText="1"/>
      <protection locked="0"/>
    </xf>
    <xf numFmtId="0" fontId="12" fillId="0" borderId="0" xfId="5" applyFont="1" applyBorder="1" applyAlignment="1">
      <alignment vertical="center" wrapText="1"/>
    </xf>
    <xf numFmtId="10" fontId="12" fillId="0" borderId="0" xfId="5" applyNumberFormat="1" applyFont="1" applyBorder="1" applyAlignment="1">
      <alignment vertical="center" wrapText="1"/>
    </xf>
    <xf numFmtId="0" fontId="54" fillId="0" borderId="0" xfId="5" applyFont="1" applyBorder="1" applyAlignment="1">
      <alignment horizontal="right" vertical="center" wrapText="1"/>
    </xf>
    <xf numFmtId="4" fontId="49" fillId="0" borderId="0" xfId="5" applyNumberFormat="1" applyFont="1" applyBorder="1" applyAlignment="1">
      <alignment horizontal="center" vertical="center" wrapText="1"/>
    </xf>
    <xf numFmtId="4" fontId="49" fillId="0" borderId="0" xfId="5" applyNumberFormat="1" applyFont="1" applyBorder="1" applyAlignment="1">
      <alignment horizontal="center" vertical="center"/>
    </xf>
    <xf numFmtId="0" fontId="61" fillId="0" borderId="0" xfId="5" applyFont="1" applyBorder="1" applyAlignment="1">
      <alignment horizontal="center" vertical="center"/>
    </xf>
    <xf numFmtId="2" fontId="12" fillId="0" borderId="0" xfId="5" applyNumberFormat="1" applyFont="1" applyBorder="1" applyAlignment="1">
      <alignment horizontal="center" wrapText="1"/>
    </xf>
    <xf numFmtId="2" fontId="12" fillId="0" borderId="0" xfId="5" applyNumberFormat="1" applyFont="1" applyBorder="1" applyAlignment="1">
      <alignment vertical="center"/>
    </xf>
    <xf numFmtId="0" fontId="12" fillId="0" borderId="0" xfId="5" applyFont="1" applyBorder="1" applyAlignment="1">
      <alignment vertical="center"/>
    </xf>
    <xf numFmtId="4" fontId="12" fillId="0" borderId="0" xfId="5" applyNumberFormat="1" applyFont="1" applyBorder="1" applyAlignment="1">
      <alignment vertical="center"/>
    </xf>
    <xf numFmtId="0" fontId="54" fillId="0" borderId="0" xfId="5" applyFont="1" applyBorder="1" applyAlignment="1">
      <alignment vertical="center" wrapText="1"/>
    </xf>
    <xf numFmtId="0" fontId="3" fillId="0" borderId="100" xfId="5" applyFont="1" applyBorder="1" applyAlignment="1" applyProtection="1">
      <alignment horizontal="right" vertical="top" wrapText="1"/>
      <protection locked="0"/>
    </xf>
    <xf numFmtId="0" fontId="3" fillId="0" borderId="100" xfId="5" applyFont="1" applyBorder="1" applyAlignment="1" applyProtection="1">
      <alignment vertical="top" wrapText="1"/>
      <protection locked="0"/>
    </xf>
    <xf numFmtId="4" fontId="59" fillId="0" borderId="0" xfId="5" applyNumberFormat="1" applyFont="1" applyBorder="1" applyAlignment="1" applyProtection="1">
      <alignment vertical="center"/>
      <protection locked="0"/>
    </xf>
    <xf numFmtId="4" fontId="3" fillId="0" borderId="0" xfId="5" applyNumberFormat="1" applyFont="1" applyAlignment="1">
      <alignment horizontal="center" vertical="center"/>
    </xf>
    <xf numFmtId="10" fontId="12" fillId="0" borderId="0" xfId="5" applyNumberFormat="1" applyFont="1" applyBorder="1" applyAlignment="1">
      <alignment horizontal="center" vertical="center" wrapText="1"/>
    </xf>
    <xf numFmtId="2" fontId="12" fillId="0" borderId="0" xfId="5" applyNumberFormat="1" applyFont="1" applyBorder="1" applyAlignment="1">
      <alignment horizontal="center" vertical="center" wrapText="1"/>
    </xf>
    <xf numFmtId="0" fontId="59" fillId="0" borderId="0" xfId="5" applyFont="1" applyBorder="1" applyAlignment="1" applyProtection="1">
      <alignment horizontal="center" vertical="center" wrapText="1"/>
      <protection locked="0"/>
    </xf>
    <xf numFmtId="0" fontId="49" fillId="0" borderId="0" xfId="5" applyFont="1" applyBorder="1" applyAlignment="1">
      <alignment vertical="center"/>
    </xf>
    <xf numFmtId="2" fontId="12" fillId="0" borderId="0" xfId="5" applyNumberFormat="1" applyFont="1" applyBorder="1" applyAlignment="1">
      <alignment vertical="center" wrapText="1"/>
    </xf>
    <xf numFmtId="179" fontId="49" fillId="0" borderId="0" xfId="1" applyNumberFormat="1" applyFont="1" applyBorder="1" applyAlignment="1">
      <alignment horizontal="center" vertical="center" wrapText="1"/>
    </xf>
    <xf numFmtId="0" fontId="49" fillId="0" borderId="0" xfId="5" applyFont="1" applyBorder="1" applyAlignment="1">
      <alignment vertical="center" wrapText="1"/>
    </xf>
    <xf numFmtId="0" fontId="4" fillId="22" borderId="66" xfId="0" applyFont="1" applyFill="1" applyBorder="1" applyAlignment="1" applyProtection="1">
      <alignment horizontal="center" vertical="center" wrapText="1"/>
      <protection locked="0"/>
    </xf>
    <xf numFmtId="0" fontId="4" fillId="22" borderId="48" xfId="5" applyFont="1" applyFill="1" applyBorder="1" applyAlignment="1" applyProtection="1">
      <alignment horizontal="center" vertical="center" wrapText="1"/>
    </xf>
    <xf numFmtId="2" fontId="3" fillId="0" borderId="0" xfId="5" applyNumberFormat="1" applyFont="1" applyBorder="1" applyAlignment="1" applyProtection="1">
      <alignment vertical="center" wrapText="1"/>
      <protection locked="0"/>
    </xf>
    <xf numFmtId="0" fontId="3" fillId="0" borderId="101" xfId="5" applyFont="1" applyBorder="1" applyAlignment="1" applyProtection="1">
      <alignment horizontal="left" vertical="center" wrapText="1"/>
      <protection locked="0"/>
    </xf>
    <xf numFmtId="4" fontId="10" fillId="0" borderId="0" xfId="5" applyNumberFormat="1" applyFont="1" applyBorder="1" applyAlignment="1" applyProtection="1">
      <alignment horizontal="center" vertical="center"/>
      <protection locked="0"/>
    </xf>
    <xf numFmtId="4" fontId="10" fillId="0" borderId="101" xfId="5" applyNumberFormat="1" applyFont="1" applyBorder="1" applyAlignment="1" applyProtection="1">
      <alignment horizontal="center" vertical="center" wrapText="1"/>
      <protection locked="0"/>
    </xf>
    <xf numFmtId="0" fontId="65" fillId="0" borderId="0" xfId="5" applyFont="1" applyBorder="1" applyAlignment="1" applyProtection="1">
      <alignment vertical="center" wrapText="1"/>
      <protection locked="0"/>
    </xf>
    <xf numFmtId="0" fontId="65" fillId="0" borderId="100" xfId="5" applyFont="1" applyBorder="1" applyAlignment="1" applyProtection="1">
      <alignment vertical="center" wrapText="1"/>
      <protection locked="0"/>
    </xf>
    <xf numFmtId="4" fontId="65" fillId="0" borderId="0" xfId="5" applyNumberFormat="1" applyFont="1" applyBorder="1" applyAlignment="1" applyProtection="1">
      <alignment vertical="center"/>
      <protection locked="0"/>
    </xf>
    <xf numFmtId="4" fontId="65" fillId="0" borderId="0" xfId="5" applyNumberFormat="1" applyFont="1" applyBorder="1" applyAlignment="1" applyProtection="1">
      <alignment horizontal="center" vertical="center"/>
      <protection locked="0"/>
    </xf>
    <xf numFmtId="4" fontId="65" fillId="0" borderId="101" xfId="5" applyNumberFormat="1" applyFont="1" applyBorder="1" applyAlignment="1" applyProtection="1">
      <alignment horizontal="center" vertical="center" wrapText="1"/>
      <protection locked="0"/>
    </xf>
    <xf numFmtId="4" fontId="65" fillId="0" borderId="0" xfId="5" applyNumberFormat="1" applyFont="1" applyBorder="1" applyAlignment="1" applyProtection="1">
      <alignment horizontal="center" vertical="center" wrapText="1"/>
      <protection locked="0"/>
    </xf>
    <xf numFmtId="0" fontId="69" fillId="0" borderId="0" xfId="5" applyFont="1" applyBorder="1" applyAlignment="1" applyProtection="1">
      <alignment horizontal="center" vertical="center" wrapText="1"/>
      <protection locked="0"/>
    </xf>
    <xf numFmtId="4" fontId="69" fillId="0" borderId="0" xfId="5" applyNumberFormat="1" applyFont="1" applyBorder="1" applyAlignment="1" applyProtection="1">
      <alignment horizontal="center" vertical="center"/>
      <protection locked="0"/>
    </xf>
    <xf numFmtId="0" fontId="68" fillId="0" borderId="0" xfId="5" applyFont="1" applyBorder="1" applyAlignment="1" applyProtection="1">
      <alignment horizontal="right" vertical="center" wrapText="1"/>
      <protection locked="0"/>
    </xf>
    <xf numFmtId="4" fontId="69" fillId="0" borderId="0" xfId="5" applyNumberFormat="1" applyFont="1" applyBorder="1" applyAlignment="1" applyProtection="1">
      <alignment horizontal="center" vertical="center" wrapText="1"/>
      <protection locked="0"/>
    </xf>
    <xf numFmtId="3" fontId="49" fillId="0" borderId="0" xfId="5" applyNumberFormat="1" applyFont="1" applyBorder="1" applyAlignment="1" applyProtection="1">
      <alignment vertical="center"/>
      <protection locked="0"/>
    </xf>
    <xf numFmtId="0" fontId="49" fillId="3" borderId="20" xfId="0" applyFont="1" applyFill="1" applyBorder="1" applyAlignment="1">
      <alignment horizontal="center" vertical="center" wrapText="1"/>
    </xf>
    <xf numFmtId="0" fontId="12" fillId="0" borderId="0" xfId="5" applyFont="1" applyBorder="1" applyAlignment="1" applyProtection="1">
      <alignment horizontal="right" vertical="center" wrapText="1"/>
      <protection locked="0"/>
    </xf>
    <xf numFmtId="0" fontId="12" fillId="0" borderId="0" xfId="5" applyFont="1" applyBorder="1" applyAlignment="1">
      <alignment horizontal="center" vertical="center" wrapText="1"/>
    </xf>
    <xf numFmtId="0" fontId="49" fillId="0" borderId="0" xfId="5" applyFont="1" applyBorder="1" applyAlignment="1">
      <alignment horizontal="center" vertical="center" wrapText="1"/>
    </xf>
    <xf numFmtId="0" fontId="54" fillId="0" borderId="0" xfId="5" applyFont="1" applyBorder="1" applyAlignment="1" applyProtection="1">
      <alignment horizontal="right" vertical="center" wrapText="1"/>
      <protection locked="0"/>
    </xf>
    <xf numFmtId="0" fontId="12" fillId="0" borderId="0" xfId="5" applyFont="1" applyAlignment="1" applyProtection="1">
      <alignment vertical="center" wrapText="1"/>
      <protection locked="0"/>
    </xf>
    <xf numFmtId="0" fontId="12" fillId="0" borderId="0" xfId="5" applyFont="1" applyAlignment="1" applyProtection="1">
      <alignment horizontal="center" vertical="center" wrapText="1"/>
      <protection locked="0"/>
    </xf>
    <xf numFmtId="2" fontId="12" fillId="0" borderId="0" xfId="5" applyNumberFormat="1" applyFont="1" applyAlignment="1" applyProtection="1">
      <alignment vertical="center" wrapText="1"/>
      <protection locked="0"/>
    </xf>
    <xf numFmtId="4" fontId="12" fillId="0" borderId="0" xfId="5" applyNumberFormat="1" applyFont="1" applyBorder="1" applyAlignment="1" applyProtection="1">
      <alignment horizontal="left" vertical="center"/>
      <protection locked="0"/>
    </xf>
    <xf numFmtId="3" fontId="59" fillId="0" borderId="0" xfId="5" applyNumberFormat="1" applyFont="1" applyBorder="1" applyAlignment="1" applyProtection="1">
      <alignment vertical="center"/>
      <protection locked="0"/>
    </xf>
    <xf numFmtId="0" fontId="12" fillId="0" borderId="100" xfId="5" applyFont="1" applyBorder="1" applyAlignment="1" applyProtection="1">
      <alignment vertical="center" wrapText="1"/>
    </xf>
    <xf numFmtId="0" fontId="0" fillId="0" borderId="0" xfId="0" applyBorder="1" applyAlignment="1">
      <alignment horizontal="center" vertical="center"/>
    </xf>
    <xf numFmtId="4" fontId="0" fillId="0" borderId="0" xfId="1" applyNumberFormat="1" applyFont="1" applyBorder="1" applyAlignment="1">
      <alignment horizontal="center" vertical="center"/>
    </xf>
    <xf numFmtId="0" fontId="72" fillId="0" borderId="0" xfId="0" applyFont="1" applyBorder="1" applyAlignment="1">
      <alignment horizontal="center" vertical="center"/>
    </xf>
    <xf numFmtId="4" fontId="72" fillId="0" borderId="0" xfId="1" applyNumberFormat="1" applyFont="1" applyBorder="1" applyAlignment="1">
      <alignment horizontal="center" vertical="center"/>
    </xf>
    <xf numFmtId="2" fontId="72" fillId="0" borderId="0" xfId="0" applyNumberFormat="1" applyFont="1" applyBorder="1" applyAlignment="1">
      <alignment horizontal="center" vertical="center"/>
    </xf>
    <xf numFmtId="2" fontId="73" fillId="0" borderId="0" xfId="0" applyNumberFormat="1" applyFont="1" applyBorder="1" applyAlignment="1">
      <alignment horizontal="center" vertical="center"/>
    </xf>
    <xf numFmtId="0" fontId="73" fillId="0" borderId="0" xfId="0" applyFont="1" applyBorder="1" applyAlignment="1">
      <alignment horizontal="center" vertical="center"/>
    </xf>
    <xf numFmtId="2" fontId="3" fillId="0" borderId="0" xfId="5" applyNumberFormat="1" applyFont="1" applyBorder="1" applyAlignment="1" applyProtection="1">
      <alignment horizontal="right" vertical="center" wrapText="1"/>
      <protection locked="0"/>
    </xf>
    <xf numFmtId="0" fontId="59" fillId="0" borderId="0" xfId="5" applyFont="1" applyBorder="1" applyAlignment="1" applyProtection="1">
      <alignment vertical="center"/>
      <protection locked="0"/>
    </xf>
    <xf numFmtId="2" fontId="59" fillId="0" borderId="0" xfId="5" applyNumberFormat="1" applyFont="1" applyBorder="1" applyAlignment="1" applyProtection="1">
      <alignment vertical="center"/>
      <protection locked="0"/>
    </xf>
    <xf numFmtId="2" fontId="59" fillId="0" borderId="0" xfId="5" applyNumberFormat="1" applyFont="1" applyBorder="1" applyAlignment="1" applyProtection="1">
      <alignment vertical="center" wrapText="1"/>
      <protection locked="0"/>
    </xf>
    <xf numFmtId="0" fontId="49" fillId="0" borderId="100" xfId="5" applyFont="1" applyBorder="1" applyAlignment="1" applyProtection="1">
      <alignment vertical="center" wrapText="1"/>
      <protection locked="0"/>
    </xf>
    <xf numFmtId="0" fontId="59" fillId="0" borderId="100" xfId="5" applyFont="1" applyBorder="1" applyAlignment="1" applyProtection="1">
      <alignment vertical="center" wrapText="1"/>
      <protection locked="0"/>
    </xf>
    <xf numFmtId="0" fontId="59" fillId="0" borderId="0" xfId="5" applyFont="1" applyBorder="1" applyAlignment="1" applyProtection="1">
      <alignment vertical="top" wrapText="1"/>
      <protection locked="0"/>
    </xf>
    <xf numFmtId="0" fontId="59" fillId="0" borderId="101" xfId="5" applyFont="1" applyBorder="1" applyAlignment="1" applyProtection="1">
      <alignment vertical="top" wrapText="1"/>
      <protection locked="0"/>
    </xf>
    <xf numFmtId="0" fontId="59" fillId="0" borderId="24" xfId="5" applyFont="1" applyBorder="1" applyAlignment="1" applyProtection="1">
      <alignment vertical="center" wrapText="1"/>
      <protection locked="0"/>
    </xf>
    <xf numFmtId="4" fontId="63" fillId="0" borderId="0" xfId="5" applyNumberFormat="1" applyFont="1" applyBorder="1" applyAlignment="1" applyProtection="1">
      <alignment vertical="center"/>
      <protection locked="0"/>
    </xf>
    <xf numFmtId="0" fontId="3" fillId="0" borderId="101" xfId="5" applyFont="1" applyBorder="1" applyAlignment="1" applyProtection="1">
      <alignment vertical="center" wrapText="1"/>
      <protection locked="0"/>
    </xf>
    <xf numFmtId="2" fontId="3" fillId="0" borderId="0" xfId="5" applyNumberFormat="1"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4" fontId="3" fillId="0" borderId="0" xfId="5" applyNumberFormat="1" applyFont="1" applyBorder="1" applyAlignment="1" applyProtection="1">
      <alignment horizontal="center" vertical="center"/>
      <protection locked="0"/>
    </xf>
    <xf numFmtId="2" fontId="63" fillId="0" borderId="0" xfId="5" applyNumberFormat="1" applyFont="1" applyBorder="1" applyAlignment="1" applyProtection="1">
      <alignment horizontal="center" vertical="center" wrapText="1"/>
      <protection locked="0"/>
    </xf>
    <xf numFmtId="2" fontId="6" fillId="2" borderId="58" xfId="1" applyNumberFormat="1" applyFont="1" applyFill="1" applyBorder="1" applyAlignment="1">
      <alignment horizontal="right" vertical="center" wrapText="1"/>
    </xf>
    <xf numFmtId="2" fontId="6" fillId="2" borderId="14" xfId="1" applyNumberFormat="1" applyFont="1" applyFill="1" applyBorder="1" applyAlignment="1">
      <alignment horizontal="right" vertical="center"/>
    </xf>
    <xf numFmtId="2" fontId="6" fillId="2" borderId="14" xfId="1" applyNumberFormat="1" applyFont="1" applyFill="1" applyBorder="1" applyAlignment="1">
      <alignment horizontal="right" vertical="center" wrapText="1"/>
    </xf>
    <xf numFmtId="2" fontId="6" fillId="2" borderId="60" xfId="1" applyNumberFormat="1" applyFont="1" applyFill="1" applyBorder="1" applyAlignment="1">
      <alignment horizontal="right" vertical="center" wrapText="1"/>
    </xf>
    <xf numFmtId="2" fontId="6" fillId="2" borderId="15" xfId="1" applyNumberFormat="1" applyFont="1" applyFill="1" applyBorder="1" applyAlignment="1">
      <alignment horizontal="right" vertical="center" wrapText="1"/>
    </xf>
    <xf numFmtId="175" fontId="6" fillId="2" borderId="129" xfId="2" applyNumberFormat="1" applyFont="1" applyFill="1" applyBorder="1" applyAlignment="1" applyProtection="1">
      <alignment horizontal="right" vertical="center"/>
    </xf>
    <xf numFmtId="175" fontId="6" fillId="0" borderId="60" xfId="1" applyNumberFormat="1" applyFont="1" applyFill="1" applyBorder="1" applyAlignment="1" applyProtection="1">
      <alignment horizontal="right" vertical="center"/>
    </xf>
    <xf numFmtId="0" fontId="59" fillId="0" borderId="1" xfId="5" applyFont="1" applyBorder="1" applyAlignment="1" applyProtection="1">
      <alignment vertical="center" wrapText="1"/>
      <protection locked="0"/>
    </xf>
    <xf numFmtId="2" fontId="49" fillId="0" borderId="0" xfId="5" applyNumberFormat="1" applyFont="1" applyAlignment="1">
      <alignment horizontal="center" vertical="center" wrapText="1"/>
    </xf>
    <xf numFmtId="175" fontId="7" fillId="4" borderId="106" xfId="1" applyNumberFormat="1" applyFont="1" applyFill="1" applyBorder="1" applyAlignment="1" applyProtection="1">
      <alignment horizontal="right" vertical="center" wrapText="1"/>
    </xf>
    <xf numFmtId="175" fontId="6" fillId="4" borderId="1" xfId="1" applyNumberFormat="1" applyFont="1" applyFill="1" applyBorder="1" applyAlignment="1" applyProtection="1">
      <alignment horizontal="right" vertical="center"/>
    </xf>
    <xf numFmtId="175" fontId="6" fillId="4" borderId="109" xfId="1" applyNumberFormat="1" applyFont="1" applyFill="1" applyBorder="1" applyAlignment="1" applyProtection="1">
      <alignment horizontal="right" vertical="center"/>
    </xf>
    <xf numFmtId="0" fontId="54" fillId="0" borderId="0" xfId="5" applyFont="1" applyBorder="1" applyAlignment="1" applyProtection="1">
      <alignment horizontal="left" vertical="center" wrapText="1"/>
      <protection locked="0"/>
    </xf>
    <xf numFmtId="0" fontId="74" fillId="0" borderId="100" xfId="5" applyFont="1" applyBorder="1" applyAlignment="1" applyProtection="1">
      <alignment vertical="center" wrapText="1"/>
      <protection locked="0"/>
    </xf>
    <xf numFmtId="0" fontId="74" fillId="0" borderId="0" xfId="5" applyFont="1" applyBorder="1" applyAlignment="1" applyProtection="1">
      <alignment vertical="center" wrapText="1"/>
      <protection locked="0"/>
    </xf>
    <xf numFmtId="180" fontId="63" fillId="0" borderId="0" xfId="5" applyNumberFormat="1" applyFont="1" applyBorder="1" applyAlignment="1" applyProtection="1">
      <alignment vertical="center"/>
      <protection locked="0"/>
    </xf>
    <xf numFmtId="0" fontId="49" fillId="3" borderId="20" xfId="0" applyFont="1" applyFill="1" applyBorder="1" applyAlignment="1">
      <alignment horizontal="center" vertical="center" wrapText="1"/>
    </xf>
    <xf numFmtId="0" fontId="49" fillId="0" borderId="0" xfId="5" applyFont="1" applyBorder="1" applyAlignment="1" applyProtection="1">
      <alignment horizontal="center" vertical="center" wrapText="1"/>
      <protection locked="0"/>
    </xf>
    <xf numFmtId="3" fontId="49" fillId="0" borderId="0" xfId="5" applyNumberFormat="1" applyFont="1" applyBorder="1" applyAlignment="1" applyProtection="1">
      <alignment horizontal="center" vertical="center"/>
      <protection locked="0"/>
    </xf>
    <xf numFmtId="0" fontId="12" fillId="0" borderId="0" xfId="5" applyFont="1" applyBorder="1" applyAlignment="1" applyProtection="1">
      <alignment horizontal="center" vertical="center" wrapText="1"/>
      <protection locked="0"/>
    </xf>
    <xf numFmtId="0" fontId="54" fillId="0" borderId="0" xfId="5" applyFont="1" applyBorder="1" applyAlignment="1" applyProtection="1">
      <alignment horizontal="right" vertical="center" wrapText="1"/>
      <protection locked="0"/>
    </xf>
    <xf numFmtId="4" fontId="49" fillId="0" borderId="0" xfId="5" applyNumberFormat="1" applyFont="1" applyBorder="1" applyAlignment="1" applyProtection="1">
      <alignment horizontal="center" vertical="center" wrapText="1"/>
      <protection locked="0"/>
    </xf>
    <xf numFmtId="0" fontId="12" fillId="0" borderId="0" xfId="5" applyFont="1" applyBorder="1" applyAlignment="1" applyProtection="1">
      <alignment horizontal="left" vertical="center" wrapText="1"/>
      <protection locked="0"/>
    </xf>
    <xf numFmtId="0" fontId="12" fillId="0" borderId="0" xfId="5" applyFont="1" applyBorder="1" applyAlignment="1">
      <alignment horizontal="center" vertical="center" wrapText="1"/>
    </xf>
    <xf numFmtId="0" fontId="3" fillId="0" borderId="0" xfId="5" applyFont="1" applyBorder="1" applyAlignment="1" applyProtection="1">
      <alignment horizontal="center" vertical="center" wrapText="1"/>
      <protection locked="0"/>
    </xf>
    <xf numFmtId="0" fontId="12" fillId="0" borderId="100" xfId="5" applyFont="1" applyBorder="1" applyAlignment="1" applyProtection="1">
      <alignment horizontal="right" vertical="top" wrapText="1"/>
      <protection locked="0"/>
    </xf>
    <xf numFmtId="0" fontId="49" fillId="0" borderId="0" xfId="5" applyFont="1" applyAlignment="1" applyProtection="1">
      <alignment horizontal="center" vertical="center" wrapText="1"/>
      <protection locked="0"/>
    </xf>
    <xf numFmtId="0" fontId="49" fillId="0" borderId="0" xfId="5" applyFont="1" applyAlignment="1">
      <alignment horizontal="center" vertical="center"/>
    </xf>
    <xf numFmtId="0" fontId="12" fillId="0" borderId="0" xfId="5" applyFont="1" applyBorder="1" applyAlignment="1" applyProtection="1">
      <alignment horizontal="center" vertical="center"/>
      <protection locked="0"/>
    </xf>
    <xf numFmtId="0" fontId="12" fillId="0" borderId="0" xfId="5" applyFont="1" applyAlignment="1">
      <alignment horizontal="center" vertical="center" wrapText="1"/>
    </xf>
    <xf numFmtId="0" fontId="59" fillId="0" borderId="0" xfId="5" applyFont="1" applyBorder="1" applyAlignment="1" applyProtection="1">
      <alignment horizontal="center" vertical="center" wrapText="1"/>
      <protection locked="0"/>
    </xf>
    <xf numFmtId="2" fontId="3" fillId="0" borderId="0" xfId="5" applyNumberFormat="1" applyFont="1" applyBorder="1" applyAlignment="1" applyProtection="1">
      <alignment horizontal="center" vertical="center" wrapText="1"/>
      <protection locked="0"/>
    </xf>
    <xf numFmtId="4" fontId="12" fillId="0" borderId="0" xfId="5" applyNumberFormat="1" applyFont="1" applyBorder="1" applyAlignment="1" applyProtection="1">
      <alignment horizontal="center" vertical="center"/>
      <protection locked="0"/>
    </xf>
    <xf numFmtId="2" fontId="12" fillId="0" borderId="0" xfId="5" applyNumberFormat="1" applyFont="1" applyBorder="1" applyAlignment="1" applyProtection="1">
      <alignment horizontal="center" vertical="center"/>
      <protection locked="0"/>
    </xf>
    <xf numFmtId="2" fontId="12" fillId="0" borderId="0" xfId="5" applyNumberFormat="1" applyFont="1" applyBorder="1" applyAlignment="1" applyProtection="1">
      <alignment horizontal="center" vertical="center" wrapText="1"/>
      <protection locked="0"/>
    </xf>
    <xf numFmtId="0" fontId="49" fillId="0" borderId="0" xfId="5" applyFont="1" applyBorder="1" applyAlignment="1">
      <alignment horizontal="center" vertical="center" wrapText="1"/>
    </xf>
    <xf numFmtId="2" fontId="49" fillId="0" borderId="0" xfId="5" applyNumberFormat="1" applyFont="1" applyBorder="1" applyAlignment="1" applyProtection="1">
      <alignment horizontal="center" vertical="center"/>
      <protection locked="0"/>
    </xf>
    <xf numFmtId="0" fontId="12" fillId="0" borderId="0" xfId="5" applyFont="1" applyBorder="1" applyAlignment="1" applyProtection="1">
      <alignment horizontal="center" vertical="center" wrapText="1"/>
    </xf>
    <xf numFmtId="0" fontId="49" fillId="0" borderId="0" xfId="5" applyFont="1" applyBorder="1" applyAlignment="1" applyProtection="1">
      <alignment horizontal="center" vertical="center" wrapText="1"/>
    </xf>
    <xf numFmtId="2" fontId="3" fillId="0" borderId="0" xfId="5" applyNumberFormat="1" applyFont="1" applyBorder="1" applyAlignment="1" applyProtection="1">
      <alignment horizontal="center" vertical="center"/>
      <protection locked="0"/>
    </xf>
    <xf numFmtId="0" fontId="63" fillId="0" borderId="0" xfId="5" applyFont="1" applyBorder="1" applyAlignment="1" applyProtection="1">
      <alignment horizontal="center" vertical="center" wrapText="1"/>
      <protection locked="0"/>
    </xf>
    <xf numFmtId="0" fontId="66" fillId="0" borderId="100" xfId="5" applyFont="1" applyBorder="1" applyAlignment="1" applyProtection="1">
      <alignment horizontal="center" vertical="center" wrapText="1"/>
      <protection locked="0"/>
    </xf>
    <xf numFmtId="0" fontId="3" fillId="0" borderId="0" xfId="5" applyFont="1" applyBorder="1" applyAlignment="1" applyProtection="1">
      <alignment horizontal="right" vertical="center" wrapText="1"/>
      <protection locked="0"/>
    </xf>
    <xf numFmtId="2" fontId="3" fillId="0" borderId="0" xfId="5" applyNumberFormat="1" applyFont="1" applyBorder="1" applyAlignment="1" applyProtection="1">
      <alignment horizontal="right" vertical="center" wrapText="1"/>
      <protection locked="0"/>
    </xf>
    <xf numFmtId="0" fontId="49" fillId="0" borderId="0" xfId="5" applyFont="1" applyBorder="1" applyAlignment="1" applyProtection="1">
      <alignment horizontal="right" vertical="center" wrapText="1"/>
      <protection locked="0"/>
    </xf>
    <xf numFmtId="0" fontId="0" fillId="0" borderId="0" xfId="0" applyBorder="1" applyAlignment="1">
      <alignment horizontal="center" vertical="center"/>
    </xf>
    <xf numFmtId="4" fontId="0" fillId="0" borderId="0" xfId="1" applyNumberFormat="1" applyFont="1" applyBorder="1" applyAlignment="1">
      <alignment horizontal="center" vertical="center"/>
    </xf>
    <xf numFmtId="0" fontId="63" fillId="0" borderId="0" xfId="5" applyFont="1" applyBorder="1" applyAlignment="1" applyProtection="1">
      <alignment horizontal="right" vertical="center" wrapText="1"/>
      <protection locked="0"/>
    </xf>
    <xf numFmtId="4" fontId="49" fillId="0" borderId="0" xfId="5" applyNumberFormat="1" applyFont="1" applyBorder="1" applyAlignment="1">
      <alignment horizontal="center" vertical="center"/>
    </xf>
    <xf numFmtId="0" fontId="0" fillId="0" borderId="95" xfId="0" applyBorder="1" applyAlignment="1">
      <alignment horizontal="center" vertical="center"/>
    </xf>
    <xf numFmtId="4" fontId="0" fillId="0" borderId="95" xfId="1" applyNumberFormat="1" applyFont="1" applyBorder="1" applyAlignment="1">
      <alignment horizontal="center" vertical="center"/>
    </xf>
    <xf numFmtId="0" fontId="12" fillId="0" borderId="0" xfId="5" applyFont="1" applyAlignment="1">
      <alignment horizontal="center" vertical="center" wrapText="1"/>
    </xf>
    <xf numFmtId="0" fontId="0" fillId="0" borderId="0" xfId="0" applyBorder="1" applyAlignment="1">
      <alignment vertical="center"/>
    </xf>
    <xf numFmtId="4" fontId="0" fillId="0" borderId="0" xfId="1" applyNumberFormat="1" applyFont="1" applyBorder="1" applyAlignment="1">
      <alignment vertical="center"/>
    </xf>
    <xf numFmtId="4" fontId="0" fillId="0" borderId="0" xfId="1" applyNumberFormat="1" applyFont="1" applyBorder="1" applyAlignment="1" applyProtection="1">
      <alignment vertical="center"/>
      <protection locked="0"/>
    </xf>
    <xf numFmtId="0" fontId="49" fillId="0" borderId="0" xfId="5" applyFont="1" applyAlignment="1" applyProtection="1">
      <alignment vertical="center" wrapText="1"/>
      <protection locked="0"/>
    </xf>
    <xf numFmtId="0" fontId="4" fillId="0" borderId="130" xfId="5" applyFont="1" applyBorder="1" applyAlignment="1" applyProtection="1">
      <alignment horizontal="center" vertical="center" wrapText="1"/>
    </xf>
    <xf numFmtId="2" fontId="12" fillId="0" borderId="101" xfId="5" applyNumberFormat="1" applyFont="1" applyBorder="1" applyAlignment="1">
      <alignment vertical="center" wrapText="1"/>
    </xf>
    <xf numFmtId="10" fontId="12" fillId="0" borderId="101" xfId="5" applyNumberFormat="1" applyFont="1" applyBorder="1" applyAlignment="1">
      <alignment vertical="center" wrapText="1"/>
    </xf>
    <xf numFmtId="0" fontId="49" fillId="0" borderId="0" xfId="5" applyFont="1" applyAlignment="1">
      <alignment vertical="center"/>
    </xf>
    <xf numFmtId="0" fontId="49" fillId="0" borderId="0" xfId="5" applyFont="1" applyBorder="1" applyAlignment="1" applyProtection="1">
      <alignment vertical="center" wrapText="1"/>
    </xf>
    <xf numFmtId="2" fontId="54" fillId="0" borderId="0" xfId="5" applyNumberFormat="1" applyFont="1" applyBorder="1" applyAlignment="1" applyProtection="1">
      <alignment vertical="center" wrapText="1"/>
      <protection locked="0"/>
    </xf>
    <xf numFmtId="0" fontId="59" fillId="0" borderId="100" xfId="5" applyFont="1" applyBorder="1" applyAlignment="1" applyProtection="1">
      <alignment vertical="top" wrapText="1"/>
      <protection locked="0"/>
    </xf>
    <xf numFmtId="0" fontId="59" fillId="0" borderId="101" xfId="5" applyFont="1" applyBorder="1" applyAlignment="1" applyProtection="1">
      <alignment vertical="center" wrapText="1"/>
      <protection locked="0"/>
    </xf>
    <xf numFmtId="2" fontId="3" fillId="0" borderId="101" xfId="5" applyNumberFormat="1" applyFont="1" applyBorder="1" applyAlignment="1" applyProtection="1">
      <alignment horizontal="center" vertical="center" wrapText="1"/>
      <protection locked="0"/>
    </xf>
    <xf numFmtId="0" fontId="3" fillId="0" borderId="13" xfId="5" applyBorder="1" applyAlignment="1" applyProtection="1">
      <alignment vertical="center" wrapText="1"/>
      <protection locked="0"/>
    </xf>
    <xf numFmtId="0" fontId="3" fillId="0" borderId="0" xfId="5" applyAlignment="1" applyProtection="1">
      <alignment vertical="center" wrapText="1"/>
      <protection locked="0"/>
    </xf>
    <xf numFmtId="0" fontId="12" fillId="0" borderId="0" xfId="5" applyFont="1" applyAlignment="1" applyProtection="1">
      <alignment vertical="center"/>
      <protection locked="0"/>
    </xf>
    <xf numFmtId="2" fontId="12" fillId="0" borderId="0" xfId="5" applyNumberFormat="1" applyFont="1" applyAlignment="1" applyProtection="1">
      <alignment vertical="center"/>
      <protection locked="0"/>
    </xf>
    <xf numFmtId="4" fontId="12" fillId="0" borderId="0" xfId="5" applyNumberFormat="1" applyFont="1" applyAlignment="1" applyProtection="1">
      <alignment vertical="center"/>
      <protection locked="0"/>
    </xf>
    <xf numFmtId="0" fontId="3" fillId="0" borderId="14" xfId="5" applyBorder="1" applyAlignment="1" applyProtection="1">
      <alignment vertical="center" wrapText="1"/>
      <protection locked="0"/>
    </xf>
    <xf numFmtId="2" fontId="3" fillId="0" borderId="0" xfId="5" applyNumberFormat="1" applyAlignment="1" applyProtection="1">
      <alignment vertical="center"/>
      <protection locked="0"/>
    </xf>
    <xf numFmtId="0" fontId="12" fillId="0" borderId="0" xfId="5" applyFont="1" applyAlignment="1" applyProtection="1">
      <alignment horizontal="center" vertical="center"/>
      <protection locked="0"/>
    </xf>
    <xf numFmtId="4" fontId="49" fillId="0" borderId="0" xfId="5" applyNumberFormat="1" applyFont="1" applyAlignment="1" applyProtection="1">
      <alignment vertical="center"/>
      <protection locked="0"/>
    </xf>
    <xf numFmtId="0" fontId="59" fillId="0" borderId="0" xfId="5" applyFont="1" applyAlignment="1" applyProtection="1">
      <alignment horizontal="left" vertical="center" wrapText="1"/>
      <protection locked="0"/>
    </xf>
    <xf numFmtId="0" fontId="54" fillId="0" borderId="0" xfId="5" applyFont="1" applyAlignment="1" applyProtection="1">
      <alignment vertical="center" wrapText="1"/>
      <protection locked="0"/>
    </xf>
    <xf numFmtId="0" fontId="54" fillId="0" borderId="0" xfId="5" applyFont="1" applyAlignment="1" applyProtection="1">
      <alignment horizontal="right" vertical="center" wrapText="1"/>
      <protection locked="0"/>
    </xf>
    <xf numFmtId="4" fontId="49" fillId="0" borderId="0" xfId="5" applyNumberFormat="1" applyFont="1" applyAlignment="1" applyProtection="1">
      <alignment horizontal="center" vertical="center" wrapText="1"/>
      <protection locked="0"/>
    </xf>
    <xf numFmtId="4" fontId="49" fillId="0" borderId="0" xfId="5" applyNumberFormat="1" applyFont="1" applyAlignment="1" applyProtection="1">
      <alignment horizontal="center" vertical="center"/>
      <protection locked="0"/>
    </xf>
    <xf numFmtId="2" fontId="12" fillId="0" borderId="0" xfId="5" applyNumberFormat="1" applyFont="1" applyAlignment="1" applyProtection="1">
      <alignment horizontal="center" vertical="center"/>
      <protection locked="0"/>
    </xf>
    <xf numFmtId="2" fontId="12" fillId="0" borderId="0" xfId="5" applyNumberFormat="1" applyFont="1" applyAlignment="1" applyProtection="1">
      <alignment horizontal="right" vertical="center"/>
      <protection locked="0"/>
    </xf>
    <xf numFmtId="2" fontId="12" fillId="0" borderId="0" xfId="5" applyNumberFormat="1" applyFont="1" applyAlignment="1" applyProtection="1">
      <alignment horizontal="right" vertical="center" wrapText="1"/>
      <protection locked="0"/>
    </xf>
    <xf numFmtId="0" fontId="3" fillId="0" borderId="14" xfId="5" applyBorder="1" applyAlignment="1" applyProtection="1">
      <alignment horizontal="center" vertical="center" wrapText="1"/>
      <protection locked="0"/>
    </xf>
    <xf numFmtId="0" fontId="12" fillId="0" borderId="0" xfId="5" applyFont="1" applyAlignment="1" applyProtection="1">
      <alignment horizontal="right" vertical="center"/>
      <protection locked="0"/>
    </xf>
    <xf numFmtId="0" fontId="3" fillId="0" borderId="15" xfId="5" applyBorder="1" applyAlignment="1" applyProtection="1">
      <alignment horizontal="center" vertical="center" wrapText="1"/>
      <protection locked="0"/>
    </xf>
    <xf numFmtId="0" fontId="3" fillId="0" borderId="0" xfId="5" applyAlignment="1" applyProtection="1">
      <alignment horizontal="center" vertical="center" wrapText="1"/>
      <protection locked="0"/>
    </xf>
    <xf numFmtId="0" fontId="9" fillId="0" borderId="0" xfId="5" applyFont="1" applyAlignment="1" applyProtection="1">
      <alignment horizontal="center" vertical="center" wrapText="1"/>
      <protection locked="0"/>
    </xf>
    <xf numFmtId="2" fontId="9" fillId="0" borderId="0" xfId="5" applyNumberFormat="1" applyFont="1" applyAlignment="1" applyProtection="1">
      <alignment vertical="center" wrapText="1"/>
      <protection locked="0"/>
    </xf>
    <xf numFmtId="0" fontId="49" fillId="0" borderId="0" xfId="5" applyFont="1" applyAlignment="1" applyProtection="1">
      <alignment vertical="center"/>
      <protection locked="0"/>
    </xf>
    <xf numFmtId="2" fontId="49" fillId="0" borderId="0" xfId="5" applyNumberFormat="1" applyFont="1" applyBorder="1" applyAlignment="1" applyProtection="1">
      <alignment vertical="top" wrapText="1"/>
      <protection locked="0"/>
    </xf>
    <xf numFmtId="3" fontId="49" fillId="0" borderId="0" xfId="5" applyNumberFormat="1" applyFont="1" applyAlignment="1" applyProtection="1">
      <alignment vertical="center"/>
      <protection locked="0"/>
    </xf>
    <xf numFmtId="2" fontId="3" fillId="0" borderId="0" xfId="5" applyNumberFormat="1" applyAlignment="1" applyProtection="1">
      <alignment vertical="center" wrapText="1"/>
      <protection locked="0"/>
    </xf>
    <xf numFmtId="3" fontId="59" fillId="0" borderId="0" xfId="5" applyNumberFormat="1" applyFont="1" applyAlignment="1" applyProtection="1">
      <alignment vertical="center"/>
      <protection locked="0"/>
    </xf>
    <xf numFmtId="3" fontId="3" fillId="0" borderId="0" xfId="5" applyNumberFormat="1" applyAlignment="1" applyProtection="1">
      <alignment horizontal="center" vertical="center"/>
      <protection locked="0"/>
    </xf>
    <xf numFmtId="4" fontId="3" fillId="0" borderId="0" xfId="5" applyNumberFormat="1" applyAlignment="1" applyProtection="1">
      <alignment vertical="center"/>
      <protection locked="0"/>
    </xf>
    <xf numFmtId="3" fontId="59" fillId="0" borderId="0" xfId="5" applyNumberFormat="1" applyFont="1" applyAlignment="1" applyProtection="1">
      <alignment horizontal="center" vertical="center"/>
      <protection locked="0"/>
    </xf>
    <xf numFmtId="3" fontId="3" fillId="0" borderId="0" xfId="5" applyNumberFormat="1" applyAlignment="1" applyProtection="1">
      <alignment vertical="center"/>
      <protection locked="0"/>
    </xf>
    <xf numFmtId="0" fontId="4" fillId="0" borderId="0" xfId="5" applyFont="1" applyAlignment="1">
      <alignment vertical="center" wrapText="1"/>
    </xf>
    <xf numFmtId="3" fontId="3" fillId="0" borderId="0" xfId="5" applyNumberFormat="1" applyFont="1" applyAlignment="1" applyProtection="1">
      <alignment horizontal="center" vertical="center"/>
      <protection locked="0"/>
    </xf>
    <xf numFmtId="4" fontId="3" fillId="0" borderId="0" xfId="5" applyNumberFormat="1" applyFont="1" applyAlignment="1" applyProtection="1">
      <alignment vertical="center"/>
      <protection locked="0"/>
    </xf>
    <xf numFmtId="3" fontId="3" fillId="0" borderId="0" xfId="5" applyNumberFormat="1" applyFont="1" applyAlignment="1" applyProtection="1">
      <alignment vertical="center"/>
      <protection locked="0"/>
    </xf>
    <xf numFmtId="3" fontId="63" fillId="0" borderId="0" xfId="5" applyNumberFormat="1" applyFont="1" applyAlignment="1" applyProtection="1">
      <alignment horizontal="center" vertical="center"/>
      <protection locked="0"/>
    </xf>
    <xf numFmtId="4" fontId="63" fillId="0" borderId="0" xfId="5" applyNumberFormat="1" applyFont="1" applyAlignment="1" applyProtection="1">
      <alignment vertical="center"/>
      <protection locked="0"/>
    </xf>
    <xf numFmtId="3" fontId="63" fillId="0" borderId="0" xfId="5" applyNumberFormat="1" applyFont="1" applyAlignment="1" applyProtection="1">
      <alignment vertical="center"/>
      <protection locked="0"/>
    </xf>
    <xf numFmtId="0" fontId="76" fillId="0" borderId="0" xfId="5" applyFont="1" applyBorder="1" applyAlignment="1" applyProtection="1">
      <alignment vertical="center" wrapText="1"/>
    </xf>
    <xf numFmtId="0" fontId="77" fillId="0" borderId="0" xfId="0" applyFont="1" applyBorder="1" applyAlignment="1">
      <alignment vertical="center"/>
    </xf>
    <xf numFmtId="4" fontId="77" fillId="0" borderId="0" xfId="1" applyNumberFormat="1" applyFont="1" applyBorder="1" applyAlignment="1">
      <alignment vertical="center"/>
    </xf>
    <xf numFmtId="0" fontId="3" fillId="0" borderId="95" xfId="5" applyFont="1" applyBorder="1" applyAlignment="1" applyProtection="1">
      <alignment vertical="center" wrapText="1"/>
    </xf>
    <xf numFmtId="0" fontId="77" fillId="0" borderId="95" xfId="0" applyFont="1" applyBorder="1" applyAlignment="1">
      <alignment horizontal="center" vertical="center"/>
    </xf>
    <xf numFmtId="4" fontId="77" fillId="0" borderId="95" xfId="1" applyNumberFormat="1" applyFont="1" applyBorder="1" applyAlignment="1">
      <alignment horizontal="center" vertical="center"/>
    </xf>
    <xf numFmtId="4" fontId="3" fillId="0" borderId="95" xfId="5" applyNumberFormat="1" applyFont="1" applyBorder="1" applyAlignment="1" applyProtection="1">
      <alignment vertical="center" wrapText="1"/>
    </xf>
    <xf numFmtId="4" fontId="3" fillId="0" borderId="98" xfId="5" applyNumberFormat="1" applyFont="1" applyBorder="1" applyAlignment="1" applyProtection="1">
      <alignment vertical="center" wrapText="1"/>
    </xf>
    <xf numFmtId="0" fontId="76" fillId="0" borderId="100" xfId="5" applyFont="1" applyBorder="1" applyAlignment="1" applyProtection="1">
      <alignment vertical="center" wrapText="1"/>
    </xf>
    <xf numFmtId="4" fontId="69" fillId="0" borderId="1" xfId="5" applyNumberFormat="1" applyFont="1" applyBorder="1" applyAlignment="1" applyProtection="1">
      <alignment horizontal="center" vertical="center" wrapText="1"/>
      <protection locked="0"/>
    </xf>
    <xf numFmtId="0" fontId="9" fillId="0" borderId="0" xfId="5" applyFont="1" applyAlignment="1" applyProtection="1">
      <alignment horizontal="center" vertical="center" wrapText="1"/>
      <protection locked="0"/>
    </xf>
    <xf numFmtId="0" fontId="12" fillId="0" borderId="0" xfId="5" applyFont="1" applyAlignment="1" applyProtection="1">
      <alignment horizontal="center" vertical="center" wrapText="1"/>
      <protection locked="0"/>
    </xf>
    <xf numFmtId="0" fontId="12" fillId="0" borderId="0" xfId="5" applyFont="1" applyAlignment="1">
      <alignment horizontal="center" vertical="center" wrapText="1"/>
    </xf>
    <xf numFmtId="0" fontId="3" fillId="0" borderId="0" xfId="5" applyFont="1" applyBorder="1" applyAlignment="1" applyProtection="1">
      <alignment horizontal="center" vertical="center" wrapText="1"/>
      <protection locked="0"/>
    </xf>
    <xf numFmtId="2" fontId="3" fillId="0" borderId="0" xfId="5" applyNumberFormat="1" applyFont="1" applyBorder="1" applyAlignment="1" applyProtection="1">
      <alignment horizontal="center" vertical="center" wrapText="1"/>
      <protection locked="0"/>
    </xf>
    <xf numFmtId="0" fontId="12" fillId="0" borderId="0" xfId="5" applyFont="1" applyAlignment="1" applyProtection="1">
      <alignment horizontal="left" vertical="center" wrapText="1"/>
      <protection locked="0"/>
    </xf>
    <xf numFmtId="4" fontId="49" fillId="0" borderId="0" xfId="5" applyNumberFormat="1" applyFont="1" applyAlignment="1" applyProtection="1">
      <alignment vertical="center" wrapText="1"/>
      <protection locked="0"/>
    </xf>
    <xf numFmtId="4" fontId="12" fillId="0" borderId="0" xfId="5" applyNumberFormat="1" applyFont="1" applyAlignment="1" applyProtection="1">
      <alignment vertical="center" wrapText="1"/>
      <protection locked="0"/>
    </xf>
    <xf numFmtId="4" fontId="12" fillId="0" borderId="0" xfId="5" applyNumberFormat="1" applyFont="1" applyAlignment="1">
      <alignment vertical="center" wrapText="1"/>
    </xf>
    <xf numFmtId="0" fontId="59" fillId="0" borderId="1" xfId="5" applyFont="1" applyBorder="1" applyAlignment="1" applyProtection="1">
      <alignment horizontal="center" vertical="center" wrapText="1"/>
      <protection locked="0"/>
    </xf>
    <xf numFmtId="0" fontId="12" fillId="0" borderId="0" xfId="5" applyFont="1" applyAlignment="1" applyProtection="1">
      <alignment horizontal="center" vertical="center" wrapText="1"/>
      <protection locked="0"/>
    </xf>
    <xf numFmtId="0" fontId="49" fillId="0" borderId="0" xfId="5" applyFont="1" applyAlignment="1">
      <alignment horizontal="center" vertical="center"/>
    </xf>
    <xf numFmtId="0" fontId="54" fillId="0" borderId="0" xfId="5" applyFont="1" applyAlignment="1">
      <alignment horizontal="center" vertical="center" wrapText="1"/>
    </xf>
    <xf numFmtId="0" fontId="12" fillId="0" borderId="0" xfId="5" applyFont="1" applyAlignment="1">
      <alignment horizontal="center" vertical="center" wrapText="1"/>
    </xf>
    <xf numFmtId="0" fontId="9" fillId="0" borderId="0" xfId="5" applyFont="1" applyAlignment="1" applyProtection="1">
      <alignment horizontal="center" vertical="center"/>
      <protection locked="0"/>
    </xf>
    <xf numFmtId="2" fontId="9" fillId="0" borderId="0" xfId="5" applyNumberFormat="1" applyFont="1" applyAlignment="1" applyProtection="1">
      <alignment horizontal="center" vertical="center"/>
      <protection locked="0"/>
    </xf>
    <xf numFmtId="0" fontId="9" fillId="0" borderId="0" xfId="5" applyFont="1" applyAlignment="1" applyProtection="1">
      <alignment vertical="center"/>
      <protection locked="0"/>
    </xf>
    <xf numFmtId="2" fontId="9" fillId="0" borderId="0" xfId="5" applyNumberFormat="1" applyFont="1" applyAlignment="1" applyProtection="1">
      <alignment vertical="center"/>
      <protection locked="0"/>
    </xf>
    <xf numFmtId="4" fontId="12" fillId="0" borderId="0" xfId="5" applyNumberFormat="1" applyFont="1" applyAlignment="1" applyProtection="1">
      <alignment horizontal="center" vertical="center"/>
      <protection locked="0"/>
    </xf>
    <xf numFmtId="0" fontId="10" fillId="0" borderId="0" xfId="5" applyFont="1" applyAlignment="1" applyProtection="1">
      <alignment horizontal="center" vertical="center"/>
      <protection locked="0"/>
    </xf>
    <xf numFmtId="2" fontId="10" fillId="0" borderId="0" xfId="5" applyNumberFormat="1" applyFont="1" applyAlignment="1" applyProtection="1">
      <alignment vertical="center"/>
      <protection locked="0"/>
    </xf>
    <xf numFmtId="0" fontId="10" fillId="0" borderId="0" xfId="5" applyFont="1" applyAlignment="1" applyProtection="1">
      <alignment vertical="center"/>
      <protection locked="0"/>
    </xf>
    <xf numFmtId="0" fontId="59" fillId="0" borderId="0" xfId="5" applyFont="1" applyAlignment="1" applyProtection="1">
      <alignment vertical="center" wrapText="1"/>
      <protection locked="0"/>
    </xf>
    <xf numFmtId="0" fontId="59" fillId="0" borderId="0" xfId="5" applyFont="1" applyAlignment="1" applyProtection="1">
      <alignment horizontal="center" vertical="center" wrapText="1"/>
      <protection locked="0"/>
    </xf>
    <xf numFmtId="181" fontId="12" fillId="0" borderId="0" xfId="5" applyNumberFormat="1" applyFont="1" applyAlignment="1" applyProtection="1">
      <alignment horizontal="center" vertical="center"/>
      <protection locked="0"/>
    </xf>
    <xf numFmtId="181" fontId="12" fillId="0" borderId="0" xfId="5" applyNumberFormat="1" applyFont="1" applyAlignment="1" applyProtection="1">
      <alignment vertical="center"/>
      <protection locked="0"/>
    </xf>
    <xf numFmtId="2" fontId="3" fillId="0" borderId="0" xfId="5" applyNumberFormat="1" applyAlignment="1" applyProtection="1">
      <alignment vertical="top" wrapText="1"/>
      <protection locked="0"/>
    </xf>
    <xf numFmtId="0" fontId="59" fillId="0" borderId="0" xfId="5" applyFont="1" applyAlignment="1" applyProtection="1">
      <alignment vertical="top" wrapText="1"/>
      <protection locked="0"/>
    </xf>
    <xf numFmtId="2" fontId="59" fillId="0" borderId="0" xfId="5" applyNumberFormat="1" applyFont="1" applyAlignment="1" applyProtection="1">
      <alignment horizontal="right" vertical="center" wrapText="1"/>
      <protection locked="0"/>
    </xf>
    <xf numFmtId="2" fontId="63" fillId="0" borderId="0" xfId="5" applyNumberFormat="1" applyFont="1" applyAlignment="1" applyProtection="1">
      <alignment horizontal="right" vertical="center" wrapText="1"/>
      <protection locked="0"/>
    </xf>
    <xf numFmtId="0" fontId="63" fillId="0" borderId="0" xfId="5" applyFont="1" applyAlignment="1" applyProtection="1">
      <alignment vertical="center" wrapText="1"/>
      <protection locked="0"/>
    </xf>
    <xf numFmtId="2" fontId="59" fillId="0" borderId="0" xfId="5" applyNumberFormat="1" applyFont="1" applyAlignment="1" applyProtection="1">
      <alignment vertical="center" wrapText="1"/>
      <protection locked="0"/>
    </xf>
    <xf numFmtId="0" fontId="49" fillId="0" borderId="0" xfId="5" applyFont="1" applyAlignment="1" applyProtection="1">
      <alignment vertical="top" wrapText="1"/>
      <protection locked="0"/>
    </xf>
    <xf numFmtId="0" fontId="4" fillId="0" borderId="0" xfId="5" applyFont="1" applyBorder="1" applyAlignment="1">
      <alignment vertical="center" wrapText="1"/>
    </xf>
    <xf numFmtId="0" fontId="3" fillId="0" borderId="0" xfId="5" applyBorder="1" applyAlignment="1" applyProtection="1">
      <alignment vertical="center" wrapText="1"/>
      <protection locked="0"/>
    </xf>
    <xf numFmtId="2" fontId="69" fillId="0" borderId="1" xfId="5" applyNumberFormat="1" applyFont="1" applyBorder="1" applyAlignment="1" applyProtection="1">
      <alignment horizontal="center" vertical="center" wrapText="1"/>
      <protection locked="0"/>
    </xf>
    <xf numFmtId="0" fontId="69" fillId="0" borderId="0" xfId="5" applyFont="1" applyAlignment="1" applyProtection="1">
      <alignment vertical="center"/>
      <protection locked="0"/>
    </xf>
    <xf numFmtId="2" fontId="3" fillId="0" borderId="13" xfId="5" applyNumberFormat="1" applyBorder="1" applyAlignment="1" applyProtection="1">
      <alignment horizontal="right" vertical="center" wrapText="1"/>
      <protection locked="0"/>
    </xf>
    <xf numFmtId="2" fontId="3" fillId="0" borderId="14" xfId="5" applyNumberFormat="1" applyBorder="1" applyAlignment="1" applyProtection="1">
      <alignment horizontal="right" vertical="center" wrapText="1"/>
      <protection locked="0"/>
    </xf>
    <xf numFmtId="2" fontId="59" fillId="0" borderId="1" xfId="5" applyNumberFormat="1" applyFont="1" applyBorder="1" applyAlignment="1" applyProtection="1">
      <alignment vertical="center"/>
      <protection locked="0"/>
    </xf>
    <xf numFmtId="4" fontId="59" fillId="0" borderId="0" xfId="5" applyNumberFormat="1" applyFont="1" applyAlignment="1" applyProtection="1">
      <alignment horizontal="center" vertical="center"/>
      <protection locked="0"/>
    </xf>
    <xf numFmtId="4" fontId="59" fillId="0" borderId="0" xfId="5" applyNumberFormat="1" applyFont="1" applyAlignment="1" applyProtection="1">
      <alignment vertical="center" wrapText="1"/>
      <protection locked="0"/>
    </xf>
    <xf numFmtId="4" fontId="59" fillId="0" borderId="0" xfId="5" applyNumberFormat="1" applyFont="1" applyAlignment="1" applyProtection="1">
      <alignment horizontal="center" vertical="center" wrapText="1"/>
      <protection locked="0"/>
    </xf>
    <xf numFmtId="4" fontId="12" fillId="0" borderId="101" xfId="5" applyNumberFormat="1" applyFont="1" applyBorder="1" applyAlignment="1">
      <alignment horizontal="center" vertical="center"/>
    </xf>
    <xf numFmtId="178" fontId="12" fillId="0" borderId="0" xfId="5" applyNumberFormat="1" applyFont="1" applyBorder="1" applyAlignment="1">
      <alignment horizontal="center" vertical="center" wrapText="1"/>
    </xf>
    <xf numFmtId="4" fontId="12" fillId="0" borderId="0" xfId="5" applyNumberFormat="1" applyFont="1" applyBorder="1" applyAlignment="1">
      <alignment horizontal="center" vertical="center"/>
    </xf>
    <xf numFmtId="182" fontId="6" fillId="2" borderId="58" xfId="1" applyNumberFormat="1" applyFont="1" applyFill="1" applyBorder="1" applyAlignment="1" applyProtection="1">
      <alignment horizontal="right" vertical="center"/>
    </xf>
    <xf numFmtId="2" fontId="59" fillId="0" borderId="1" xfId="5" applyNumberFormat="1" applyFont="1" applyBorder="1" applyAlignment="1" applyProtection="1">
      <alignment vertical="center" wrapText="1"/>
      <protection locked="0"/>
    </xf>
    <xf numFmtId="0" fontId="3" fillId="0" borderId="0" xfId="5"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12" fillId="0" borderId="0" xfId="5" applyFont="1" applyAlignment="1" applyProtection="1">
      <alignment horizontal="center" vertical="center" wrapText="1"/>
      <protection locked="0"/>
    </xf>
    <xf numFmtId="3" fontId="49" fillId="0" borderId="0" xfId="5" applyNumberFormat="1" applyFont="1" applyAlignment="1" applyProtection="1">
      <alignment horizontal="center" vertical="center"/>
      <protection locked="0"/>
    </xf>
    <xf numFmtId="2" fontId="3" fillId="0" borderId="0" xfId="5" applyNumberFormat="1" applyFont="1"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2" fontId="12" fillId="0" borderId="0" xfId="5" applyNumberFormat="1" applyFont="1" applyBorder="1" applyAlignment="1" applyProtection="1">
      <alignment horizontal="center" vertical="center"/>
      <protection locked="0"/>
    </xf>
    <xf numFmtId="0" fontId="12" fillId="0" borderId="0" xfId="5" applyFont="1" applyBorder="1" applyAlignment="1" applyProtection="1">
      <alignment horizontal="center" vertical="center"/>
      <protection locked="0"/>
    </xf>
    <xf numFmtId="4" fontId="12" fillId="0" borderId="0" xfId="5" applyNumberFormat="1" applyFont="1" applyBorder="1" applyAlignment="1" applyProtection="1">
      <alignment horizontal="center" vertical="center"/>
      <protection locked="0"/>
    </xf>
    <xf numFmtId="0" fontId="59" fillId="0" borderId="66" xfId="5" applyFont="1" applyBorder="1" applyAlignment="1">
      <alignment horizontal="left" vertical="center" wrapText="1"/>
    </xf>
    <xf numFmtId="0" fontId="59" fillId="0" borderId="48" xfId="5" applyFont="1" applyBorder="1" applyAlignment="1">
      <alignment horizontal="left" vertical="center" wrapText="1"/>
    </xf>
    <xf numFmtId="2" fontId="12" fillId="0" borderId="0" xfId="5" applyNumberFormat="1" applyFont="1" applyBorder="1" applyAlignment="1" applyProtection="1">
      <alignment vertical="top" wrapText="1"/>
      <protection locked="0"/>
    </xf>
    <xf numFmtId="4" fontId="69" fillId="0" borderId="101" xfId="5" applyNumberFormat="1" applyFont="1" applyBorder="1" applyAlignment="1" applyProtection="1">
      <alignment horizontal="center" vertical="center" wrapText="1"/>
      <protection locked="0"/>
    </xf>
    <xf numFmtId="4" fontId="59" fillId="0" borderId="101" xfId="5" applyNumberFormat="1" applyFont="1" applyBorder="1" applyAlignment="1" applyProtection="1">
      <alignment horizontal="center" vertical="center" wrapText="1"/>
      <protection locked="0"/>
    </xf>
    <xf numFmtId="0" fontId="59" fillId="0" borderId="0" xfId="5" applyFont="1" applyAlignment="1" applyProtection="1">
      <alignment horizontal="center" vertical="center"/>
      <protection locked="0"/>
    </xf>
    <xf numFmtId="0" fontId="3" fillId="0" borderId="0" xfId="5" applyFont="1" applyAlignment="1" applyProtection="1">
      <alignment horizontal="left" vertical="center" wrapText="1"/>
      <protection locked="0"/>
    </xf>
    <xf numFmtId="2" fontId="3" fillId="0" borderId="0" xfId="5" applyNumberFormat="1" applyFont="1" applyAlignment="1" applyProtection="1">
      <alignment vertical="center"/>
      <protection locked="0"/>
    </xf>
    <xf numFmtId="2" fontId="59" fillId="0" borderId="0" xfId="5" applyNumberFormat="1" applyFont="1" applyAlignment="1" applyProtection="1">
      <alignment horizontal="left" vertical="center"/>
      <protection locked="0"/>
    </xf>
    <xf numFmtId="4" fontId="59" fillId="0" borderId="0" xfId="5" applyNumberFormat="1" applyFont="1" applyAlignment="1" applyProtection="1">
      <alignment horizontal="right" vertical="center"/>
      <protection locked="0"/>
    </xf>
    <xf numFmtId="2" fontId="3" fillId="0" borderId="0" xfId="5" applyNumberFormat="1" applyFont="1" applyAlignment="1" applyProtection="1">
      <alignment horizontal="right" vertical="center" wrapText="1"/>
      <protection locked="0"/>
    </xf>
    <xf numFmtId="0" fontId="3" fillId="0" borderId="0" xfId="5" applyFont="1" applyAlignment="1" applyProtection="1">
      <alignment vertical="center" wrapText="1"/>
      <protection locked="0"/>
    </xf>
    <xf numFmtId="4" fontId="3" fillId="0" borderId="0" xfId="5" applyNumberFormat="1" applyFont="1" applyAlignment="1" applyProtection="1">
      <alignment horizontal="center" vertical="center" wrapText="1"/>
      <protection locked="0"/>
    </xf>
    <xf numFmtId="2" fontId="59" fillId="0" borderId="101" xfId="5" applyNumberFormat="1" applyFont="1" applyBorder="1" applyAlignment="1" applyProtection="1">
      <alignment horizontal="center" vertical="center" wrapText="1"/>
      <protection locked="0"/>
    </xf>
    <xf numFmtId="43" fontId="12" fillId="0" borderId="0" xfId="5" applyNumberFormat="1" applyFont="1" applyBorder="1" applyAlignment="1" applyProtection="1">
      <alignment horizontal="center" vertical="center" wrapText="1"/>
      <protection locked="0"/>
    </xf>
    <xf numFmtId="2" fontId="12" fillId="0" borderId="0" xfId="5" applyNumberFormat="1" applyFont="1" applyBorder="1" applyAlignment="1" applyProtection="1">
      <alignment horizontal="right" vertical="center" wrapText="1"/>
      <protection locked="0"/>
    </xf>
    <xf numFmtId="0" fontId="3" fillId="0" borderId="0" xfId="5" applyBorder="1" applyAlignment="1" applyProtection="1">
      <alignment horizontal="center" vertical="center" wrapText="1"/>
      <protection locked="0"/>
    </xf>
    <xf numFmtId="4" fontId="3" fillId="0" borderId="0" xfId="5" applyNumberFormat="1" applyFont="1" applyBorder="1" applyAlignment="1" applyProtection="1">
      <alignment horizontal="right" vertical="center" wrapText="1"/>
      <protection locked="0"/>
    </xf>
    <xf numFmtId="0" fontId="3" fillId="0" borderId="0" xfId="5" applyFont="1" applyBorder="1" applyAlignment="1" applyProtection="1">
      <alignment horizontal="center" vertical="center"/>
      <protection locked="0"/>
    </xf>
    <xf numFmtId="2" fontId="85" fillId="0" borderId="0" xfId="5" applyNumberFormat="1" applyFont="1" applyAlignment="1" applyProtection="1">
      <alignment horizontal="center" vertical="center"/>
      <protection locked="0"/>
    </xf>
    <xf numFmtId="2" fontId="85" fillId="0" borderId="0" xfId="5" applyNumberFormat="1" applyFont="1" applyBorder="1" applyAlignment="1" applyProtection="1">
      <alignment horizontal="center" vertical="center"/>
      <protection locked="0"/>
    </xf>
    <xf numFmtId="2" fontId="49" fillId="0" borderId="105" xfId="5" applyNumberFormat="1" applyFont="1" applyBorder="1" applyAlignment="1" applyProtection="1">
      <alignment horizontal="center" vertical="center"/>
      <protection locked="0"/>
    </xf>
    <xf numFmtId="2" fontId="3" fillId="0" borderId="0" xfId="5" applyNumberFormat="1" applyBorder="1" applyAlignment="1" applyProtection="1">
      <alignment vertical="center"/>
      <protection locked="0"/>
    </xf>
    <xf numFmtId="0" fontId="59" fillId="0" borderId="1" xfId="5" applyFont="1" applyBorder="1" applyAlignment="1" applyProtection="1">
      <alignment horizontal="center" vertical="center"/>
      <protection locked="0"/>
    </xf>
    <xf numFmtId="0" fontId="79" fillId="2" borderId="0" xfId="5" applyFont="1" applyFill="1" applyBorder="1" applyAlignment="1" applyProtection="1">
      <alignment vertical="center" wrapText="1"/>
      <protection locked="0"/>
    </xf>
    <xf numFmtId="0" fontId="87" fillId="2" borderId="0" xfId="5" applyFont="1" applyFill="1" applyBorder="1" applyAlignment="1" applyProtection="1">
      <alignment vertical="center" wrapText="1"/>
      <protection locked="0"/>
    </xf>
    <xf numFmtId="0" fontId="76" fillId="2" borderId="0" xfId="5" applyFont="1" applyFill="1" applyBorder="1" applyAlignment="1" applyProtection="1">
      <alignment vertical="center" wrapText="1"/>
      <protection locked="0"/>
    </xf>
    <xf numFmtId="0" fontId="76" fillId="2" borderId="0" xfId="5" applyFont="1" applyFill="1" applyBorder="1" applyAlignment="1" applyProtection="1">
      <alignment horizontal="center" vertical="center" wrapText="1"/>
      <protection locked="0"/>
    </xf>
    <xf numFmtId="0" fontId="75" fillId="2" borderId="0" xfId="5" applyFont="1" applyFill="1" applyBorder="1" applyAlignment="1" applyProtection="1">
      <alignment vertical="center" wrapText="1"/>
      <protection locked="0"/>
    </xf>
    <xf numFmtId="0" fontId="88" fillId="0" borderId="1" xfId="5" applyFont="1" applyBorder="1" applyAlignment="1" applyProtection="1">
      <alignment horizontal="center" vertical="center" wrapText="1"/>
      <protection locked="0"/>
    </xf>
    <xf numFmtId="0" fontId="88" fillId="2" borderId="1" xfId="5" applyFont="1" applyFill="1" applyBorder="1" applyAlignment="1" applyProtection="1">
      <alignment vertical="center" wrapText="1"/>
      <protection locked="0"/>
    </xf>
    <xf numFmtId="0" fontId="88" fillId="2" borderId="1" xfId="5" applyFont="1" applyFill="1" applyBorder="1" applyAlignment="1" applyProtection="1">
      <alignment horizontal="center" vertical="center" wrapText="1"/>
      <protection locked="0"/>
    </xf>
    <xf numFmtId="0" fontId="86" fillId="2" borderId="0" xfId="5" applyFont="1" applyFill="1" applyBorder="1" applyAlignment="1" applyProtection="1">
      <alignment horizontal="center" vertical="center" wrapText="1"/>
      <protection locked="0"/>
    </xf>
    <xf numFmtId="0" fontId="87" fillId="0" borderId="13" xfId="5" applyFont="1" applyBorder="1" applyAlignment="1" applyProtection="1">
      <alignment horizontal="center" vertical="center" wrapText="1"/>
      <protection locked="0"/>
    </xf>
    <xf numFmtId="0" fontId="87" fillId="2" borderId="13" xfId="5" applyFont="1" applyFill="1" applyBorder="1" applyAlignment="1" applyProtection="1">
      <alignment horizontal="center" vertical="center" wrapText="1"/>
      <protection locked="0"/>
    </xf>
    <xf numFmtId="0" fontId="87" fillId="2" borderId="13" xfId="5" applyFont="1" applyFill="1" applyBorder="1" applyAlignment="1" applyProtection="1">
      <alignment vertical="center" wrapText="1"/>
      <protection locked="0"/>
    </xf>
    <xf numFmtId="0" fontId="87" fillId="0" borderId="0" xfId="5" applyFont="1" applyBorder="1" applyAlignment="1" applyProtection="1">
      <alignment vertical="center" wrapText="1"/>
      <protection locked="0"/>
    </xf>
    <xf numFmtId="2" fontId="54" fillId="0" borderId="0" xfId="5" applyNumberFormat="1" applyFont="1" applyBorder="1" applyAlignment="1" applyProtection="1">
      <alignment horizontal="right" vertical="center" wrapText="1"/>
      <protection locked="0"/>
    </xf>
    <xf numFmtId="0" fontId="12" fillId="0" borderId="100" xfId="5" applyFont="1" applyBorder="1" applyAlignment="1" applyProtection="1">
      <alignment horizontal="right" vertical="top" wrapText="1"/>
      <protection locked="0"/>
    </xf>
    <xf numFmtId="178" fontId="3" fillId="0" borderId="0" xfId="5" applyNumberFormat="1" applyBorder="1" applyAlignment="1" applyProtection="1">
      <alignment horizontal="center" vertical="center" wrapText="1"/>
      <protection locked="0"/>
    </xf>
    <xf numFmtId="0" fontId="12" fillId="0" borderId="0" xfId="5" applyFont="1" applyAlignment="1" applyProtection="1">
      <alignment horizontal="center" vertical="center" wrapText="1"/>
    </xf>
    <xf numFmtId="0" fontId="12" fillId="0" borderId="0" xfId="5" applyFont="1" applyAlignment="1" applyProtection="1">
      <alignment horizontal="center" vertical="center" wrapText="1"/>
    </xf>
    <xf numFmtId="0" fontId="49" fillId="0" borderId="0"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69" fillId="0" borderId="0" xfId="5" applyFont="1" applyBorder="1" applyAlignment="1" applyProtection="1">
      <alignment horizontal="center" vertical="center" wrapText="1"/>
      <protection locked="0"/>
    </xf>
    <xf numFmtId="2" fontId="49" fillId="0" borderId="0" xfId="5" applyNumberFormat="1" applyFont="1" applyBorder="1" applyAlignment="1">
      <alignment horizontal="center" vertical="center"/>
    </xf>
    <xf numFmtId="4" fontId="49" fillId="0" borderId="0" xfId="5" applyNumberFormat="1" applyFont="1" applyBorder="1" applyAlignment="1">
      <alignment horizontal="center" vertical="center"/>
    </xf>
    <xf numFmtId="4" fontId="49" fillId="0" borderId="0" xfId="5" applyNumberFormat="1" applyFont="1" applyBorder="1" applyAlignment="1" applyProtection="1">
      <alignment horizontal="center" vertical="center" wrapText="1"/>
      <protection locked="0"/>
    </xf>
    <xf numFmtId="0" fontId="12" fillId="0" borderId="0" xfId="5" applyFont="1" applyBorder="1" applyAlignment="1" applyProtection="1">
      <alignment horizontal="center" vertical="center"/>
      <protection locked="0"/>
    </xf>
    <xf numFmtId="0" fontId="78" fillId="0" borderId="0" xfId="5" applyFont="1" applyBorder="1" applyAlignment="1" applyProtection="1">
      <alignment vertical="center" wrapText="1"/>
      <protection locked="0"/>
    </xf>
    <xf numFmtId="0" fontId="54" fillId="0" borderId="0" xfId="5" applyFont="1" applyAlignment="1" applyProtection="1">
      <alignment horizontal="right" vertical="center" wrapText="1"/>
      <protection locked="0"/>
    </xf>
    <xf numFmtId="4" fontId="49" fillId="0" borderId="0" xfId="5" applyNumberFormat="1" applyFont="1" applyAlignment="1" applyProtection="1">
      <alignment horizontal="center" vertical="center" wrapText="1"/>
      <protection locked="0"/>
    </xf>
    <xf numFmtId="0" fontId="3" fillId="2" borderId="0" xfId="5" applyFont="1" applyFill="1" applyBorder="1" applyAlignment="1" applyProtection="1">
      <alignment horizontal="center" vertical="center" wrapText="1"/>
      <protection locked="0"/>
    </xf>
    <xf numFmtId="2" fontId="10" fillId="0" borderId="0" xfId="5" applyNumberFormat="1" applyFont="1" applyBorder="1" applyAlignment="1" applyProtection="1">
      <alignment vertical="center" wrapText="1"/>
      <protection locked="0"/>
    </xf>
    <xf numFmtId="0" fontId="83" fillId="0" borderId="100" xfId="5" applyFont="1" applyBorder="1" applyAlignment="1" applyProtection="1">
      <alignment vertical="center" wrapText="1"/>
      <protection locked="0"/>
    </xf>
    <xf numFmtId="0" fontId="83" fillId="0" borderId="0" xfId="5" applyFont="1" applyBorder="1" applyAlignment="1" applyProtection="1">
      <alignment vertical="center" wrapText="1"/>
      <protection locked="0"/>
    </xf>
    <xf numFmtId="0" fontId="83" fillId="0" borderId="101" xfId="5" applyFont="1" applyBorder="1" applyAlignment="1" applyProtection="1">
      <alignment vertical="center" wrapText="1"/>
      <protection locked="0"/>
    </xf>
    <xf numFmtId="0" fontId="12" fillId="0" borderId="0" xfId="5" applyFont="1" applyAlignment="1" applyProtection="1">
      <alignment horizontal="center" vertical="center" wrapText="1"/>
    </xf>
    <xf numFmtId="0" fontId="12" fillId="0" borderId="105" xfId="5" applyFont="1" applyBorder="1" applyAlignment="1">
      <alignment horizontal="center" vertical="center" wrapText="1"/>
    </xf>
    <xf numFmtId="0" fontId="12" fillId="0" borderId="0" xfId="5" applyFont="1" applyAlignment="1">
      <alignment horizontal="center" vertical="center" wrapText="1"/>
    </xf>
    <xf numFmtId="0" fontId="12" fillId="0" borderId="100" xfId="5" applyFont="1" applyBorder="1" applyAlignment="1" applyProtection="1">
      <alignment horizontal="right" vertical="top" wrapText="1"/>
      <protection locked="0"/>
    </xf>
    <xf numFmtId="14" fontId="12" fillId="0" borderId="0" xfId="5" applyNumberFormat="1" applyFont="1" applyBorder="1" applyAlignment="1">
      <alignment horizontal="right" vertical="center" wrapText="1"/>
    </xf>
    <xf numFmtId="0" fontId="12" fillId="0" borderId="113" xfId="5" applyFont="1" applyBorder="1" applyAlignment="1">
      <alignment horizontal="center" vertical="center" wrapText="1"/>
    </xf>
    <xf numFmtId="0" fontId="12" fillId="0" borderId="0" xfId="5" applyFont="1" applyBorder="1" applyAlignment="1">
      <alignment horizontal="center" vertical="center" wrapText="1"/>
    </xf>
    <xf numFmtId="0" fontId="12" fillId="0" borderId="1" xfId="5" applyFont="1" applyBorder="1" applyAlignment="1">
      <alignment horizontal="center" vertical="center" wrapText="1"/>
    </xf>
    <xf numFmtId="4" fontId="12" fillId="0" borderId="101" xfId="5" applyNumberFormat="1" applyFont="1" applyBorder="1" applyAlignment="1">
      <alignment horizontal="center" vertical="center"/>
    </xf>
    <xf numFmtId="14" fontId="12" fillId="0" borderId="0" xfId="5" applyNumberFormat="1" applyFont="1" applyBorder="1" applyAlignment="1">
      <alignment horizontal="left" vertical="center" wrapText="1"/>
    </xf>
    <xf numFmtId="0" fontId="3" fillId="0" borderId="0" xfId="5" applyFont="1" applyAlignment="1" applyProtection="1">
      <alignment vertical="center"/>
      <protection locked="0"/>
    </xf>
    <xf numFmtId="2" fontId="59" fillId="0" borderId="0" xfId="5" applyNumberFormat="1" applyFont="1" applyAlignment="1" applyProtection="1">
      <alignment vertical="center"/>
      <protection locked="0"/>
    </xf>
    <xf numFmtId="0" fontId="54" fillId="0" borderId="0" xfId="5" applyFont="1" applyAlignment="1">
      <alignment horizontal="center" vertical="center" wrapText="1"/>
    </xf>
    <xf numFmtId="0" fontId="12" fillId="0" borderId="0" xfId="5" applyFont="1" applyAlignment="1" applyProtection="1">
      <alignment horizontal="center" vertical="center" wrapText="1"/>
    </xf>
    <xf numFmtId="0" fontId="3" fillId="0" borderId="106" xfId="5" applyFont="1" applyBorder="1" applyAlignment="1">
      <alignment horizontal="center" vertical="center" wrapText="1"/>
    </xf>
    <xf numFmtId="2" fontId="59" fillId="0" borderId="106" xfId="5" applyNumberFormat="1" applyFont="1" applyBorder="1" applyAlignment="1">
      <alignment vertical="center" wrapText="1"/>
    </xf>
    <xf numFmtId="0" fontId="59" fillId="0" borderId="107" xfId="5" applyFont="1" applyBorder="1" applyAlignment="1">
      <alignment vertical="center" wrapText="1"/>
    </xf>
    <xf numFmtId="10" fontId="3" fillId="0" borderId="113" xfId="5" applyNumberFormat="1" applyFont="1" applyBorder="1" applyAlignment="1">
      <alignment horizontal="center" vertical="center" wrapText="1"/>
    </xf>
    <xf numFmtId="10" fontId="3" fillId="0" borderId="10" xfId="5" applyNumberFormat="1" applyFont="1" applyBorder="1" applyAlignment="1">
      <alignment horizontal="center" vertical="center" wrapText="1"/>
    </xf>
    <xf numFmtId="10" fontId="3" fillId="0" borderId="113" xfId="5" applyNumberFormat="1" applyFont="1" applyBorder="1" applyAlignment="1">
      <alignment vertical="center" wrapText="1"/>
    </xf>
    <xf numFmtId="0" fontId="12" fillId="0" borderId="116" xfId="5" applyFont="1" applyBorder="1" applyAlignment="1">
      <alignment horizontal="center" vertical="center"/>
    </xf>
    <xf numFmtId="0" fontId="12" fillId="0" borderId="101" xfId="5" applyFont="1" applyBorder="1" applyAlignment="1">
      <alignment horizontal="center" vertical="center" wrapText="1"/>
    </xf>
    <xf numFmtId="4" fontId="12" fillId="0" borderId="116" xfId="5" applyNumberFormat="1" applyFont="1" applyBorder="1" applyAlignment="1">
      <alignment vertical="center"/>
    </xf>
    <xf numFmtId="1" fontId="49" fillId="0" borderId="1" xfId="5" applyNumberFormat="1" applyFont="1" applyBorder="1" applyAlignment="1">
      <alignment horizontal="center" vertical="center"/>
    </xf>
    <xf numFmtId="10" fontId="59" fillId="0" borderId="1" xfId="5" applyNumberFormat="1" applyFont="1" applyBorder="1" applyAlignment="1">
      <alignment vertical="center"/>
    </xf>
    <xf numFmtId="2" fontId="10" fillId="0" borderId="1" xfId="5" applyNumberFormat="1" applyFont="1" applyBorder="1" applyAlignment="1">
      <alignment horizontal="center" vertical="center"/>
    </xf>
    <xf numFmtId="10" fontId="3" fillId="0" borderId="1" xfId="5" applyNumberFormat="1" applyFont="1" applyBorder="1" applyAlignment="1">
      <alignment horizontal="center" vertical="center" wrapText="1"/>
    </xf>
    <xf numFmtId="0" fontId="49" fillId="0" borderId="1" xfId="5" applyFont="1" applyBorder="1" applyAlignment="1">
      <alignment horizontal="center" vertical="center" wrapText="1"/>
    </xf>
    <xf numFmtId="10" fontId="59" fillId="0" borderId="1" xfId="5" applyNumberFormat="1" applyFont="1" applyBorder="1" applyAlignment="1">
      <alignment horizontal="center" vertical="center" wrapText="1"/>
    </xf>
    <xf numFmtId="4" fontId="49" fillId="0" borderId="1" xfId="5" applyNumberFormat="1" applyFont="1" applyBorder="1" applyAlignment="1">
      <alignment vertical="center" wrapText="1"/>
    </xf>
    <xf numFmtId="0" fontId="59" fillId="0" borderId="1" xfId="5" applyFont="1" applyBorder="1" applyAlignment="1">
      <alignment horizontal="center" vertical="center" wrapText="1"/>
    </xf>
    <xf numFmtId="4" fontId="49" fillId="0" borderId="1" xfId="5" applyNumberFormat="1" applyFont="1" applyBorder="1" applyAlignment="1">
      <alignment horizontal="center" vertical="center" wrapText="1"/>
    </xf>
    <xf numFmtId="14" fontId="49" fillId="0" borderId="0" xfId="5" applyNumberFormat="1" applyFont="1" applyBorder="1" applyAlignment="1">
      <alignment horizontal="center" vertical="center" wrapText="1"/>
    </xf>
    <xf numFmtId="10" fontId="59" fillId="0" borderId="0" xfId="5" applyNumberFormat="1" applyFont="1" applyBorder="1" applyAlignment="1">
      <alignment horizontal="center" vertical="center" wrapText="1"/>
    </xf>
    <xf numFmtId="4" fontId="49" fillId="0" borderId="0" xfId="5" applyNumberFormat="1" applyFont="1" applyBorder="1" applyAlignment="1">
      <alignment vertical="center" wrapText="1"/>
    </xf>
    <xf numFmtId="0" fontId="12" fillId="0" borderId="0" xfId="5" applyFont="1" applyAlignment="1" applyProtection="1">
      <alignment horizontal="center" vertical="center" wrapText="1"/>
    </xf>
    <xf numFmtId="0" fontId="49" fillId="0" borderId="0" xfId="5" applyFont="1" applyBorder="1" applyAlignment="1" applyProtection="1">
      <alignment horizontal="center" vertical="center" wrapText="1"/>
      <protection locked="0"/>
    </xf>
    <xf numFmtId="2" fontId="3" fillId="0" borderId="0" xfId="5" applyNumberFormat="1" applyFont="1" applyBorder="1" applyAlignment="1" applyProtection="1">
      <alignment horizontal="center" vertical="center"/>
      <protection locked="0"/>
    </xf>
    <xf numFmtId="0" fontId="59" fillId="0" borderId="0" xfId="5" applyFont="1" applyBorder="1" applyAlignment="1" applyProtection="1">
      <alignment horizontal="center" vertical="center" wrapText="1"/>
      <protection locked="0"/>
    </xf>
    <xf numFmtId="4" fontId="49" fillId="0" borderId="0" xfId="5" applyNumberFormat="1" applyFont="1" applyBorder="1" applyAlignment="1" applyProtection="1">
      <alignment horizontal="center" vertical="center" wrapText="1"/>
      <protection locked="0"/>
    </xf>
    <xf numFmtId="0" fontId="54" fillId="0" borderId="0" xfId="5" applyFont="1" applyBorder="1" applyAlignment="1" applyProtection="1">
      <alignment horizontal="right" vertical="center" wrapText="1"/>
      <protection locked="0"/>
    </xf>
    <xf numFmtId="0" fontId="12" fillId="0" borderId="0" xfId="5" applyFont="1" applyBorder="1" applyAlignment="1" applyProtection="1">
      <alignment horizontal="center" vertical="center"/>
      <protection locked="0"/>
    </xf>
    <xf numFmtId="4" fontId="3" fillId="0" borderId="0" xfId="5" applyNumberFormat="1" applyFont="1" applyBorder="1" applyAlignment="1" applyProtection="1">
      <alignment horizontal="center" vertical="center"/>
      <protection locked="0"/>
    </xf>
    <xf numFmtId="2" fontId="49" fillId="0" borderId="0" xfId="5" applyNumberFormat="1" applyFont="1" applyBorder="1" applyAlignment="1" applyProtection="1">
      <alignment horizontal="center" vertical="center" wrapText="1"/>
      <protection locked="0"/>
    </xf>
    <xf numFmtId="178" fontId="12" fillId="0" borderId="116" xfId="5" applyNumberFormat="1" applyFont="1" applyBorder="1" applyAlignment="1">
      <alignment vertical="center" wrapText="1"/>
    </xf>
    <xf numFmtId="4" fontId="12" fillId="0" borderId="101" xfId="5" applyNumberFormat="1" applyFont="1" applyBorder="1" applyAlignment="1">
      <alignment vertical="center"/>
    </xf>
    <xf numFmtId="0" fontId="12" fillId="0" borderId="0" xfId="5" applyFont="1" applyAlignment="1" applyProtection="1">
      <alignment horizontal="center" vertical="center" wrapText="1"/>
    </xf>
    <xf numFmtId="0" fontId="12" fillId="0" borderId="0" xfId="5" applyFont="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2" fontId="59" fillId="0" borderId="1" xfId="5" applyNumberFormat="1" applyFont="1" applyBorder="1" applyAlignment="1" applyProtection="1">
      <alignment horizontal="center" vertical="center"/>
      <protection locked="0"/>
    </xf>
    <xf numFmtId="0" fontId="10" fillId="0" borderId="0" xfId="5" applyFont="1" applyAlignment="1" applyProtection="1">
      <alignment horizontal="center" vertical="center" wrapText="1"/>
      <protection locked="0"/>
    </xf>
    <xf numFmtId="0" fontId="12" fillId="0" borderId="100" xfId="5" applyFont="1" applyBorder="1" applyAlignment="1" applyProtection="1">
      <alignment horizontal="right" vertical="top" wrapText="1"/>
      <protection locked="0"/>
    </xf>
    <xf numFmtId="0" fontId="59" fillId="0" borderId="1" xfId="5" applyFont="1" applyBorder="1" applyAlignment="1" applyProtection="1">
      <alignment horizontal="center" vertical="center" wrapText="1"/>
      <protection locked="0"/>
    </xf>
    <xf numFmtId="2" fontId="3" fillId="0" borderId="0" xfId="5" applyNumberForma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12" fillId="0" borderId="100" xfId="5" applyFont="1" applyBorder="1" applyAlignment="1" applyProtection="1">
      <alignment horizontal="right" vertical="top" wrapText="1"/>
      <protection locked="0"/>
    </xf>
    <xf numFmtId="0" fontId="49" fillId="0" borderId="0" xfId="5" applyFont="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12" fillId="0" borderId="0" xfId="5" applyFont="1" applyBorder="1" applyAlignment="1" applyProtection="1">
      <alignment horizontal="center" vertical="center"/>
      <protection locked="0"/>
    </xf>
    <xf numFmtId="4" fontId="12" fillId="0" borderId="0" xfId="5" applyNumberFormat="1" applyFont="1" applyBorder="1" applyAlignment="1" applyProtection="1">
      <alignment horizontal="center" vertical="center"/>
      <protection locked="0"/>
    </xf>
    <xf numFmtId="0" fontId="12" fillId="0" borderId="0" xfId="5" applyFont="1" applyAlignment="1" applyProtection="1">
      <alignment horizontal="center" vertical="center" wrapText="1"/>
      <protection locked="0"/>
    </xf>
    <xf numFmtId="0" fontId="49" fillId="0" borderId="0" xfId="5" applyFont="1" applyBorder="1" applyAlignment="1">
      <alignment horizontal="center" vertical="center"/>
    </xf>
    <xf numFmtId="0" fontId="54" fillId="0" borderId="0" xfId="5" applyFont="1" applyBorder="1" applyAlignment="1" applyProtection="1">
      <alignment horizontal="right" vertical="center" wrapText="1"/>
      <protection locked="0"/>
    </xf>
    <xf numFmtId="4" fontId="49" fillId="0" borderId="0" xfId="5" applyNumberFormat="1" applyFont="1" applyBorder="1" applyAlignment="1" applyProtection="1">
      <alignment horizontal="center" vertical="center" wrapText="1"/>
      <protection locked="0"/>
    </xf>
    <xf numFmtId="0" fontId="59" fillId="0" borderId="0" xfId="5" applyFont="1" applyBorder="1" applyAlignment="1" applyProtection="1">
      <alignment horizontal="center" vertical="center"/>
      <protection locked="0"/>
    </xf>
    <xf numFmtId="2" fontId="3" fillId="0" borderId="0" xfId="5" applyNumberFormat="1" applyFont="1" applyBorder="1" applyAlignment="1" applyProtection="1">
      <alignment horizontal="right" vertical="center"/>
      <protection locked="0"/>
    </xf>
    <xf numFmtId="0" fontId="12" fillId="0" borderId="0" xfId="5" applyFont="1" applyAlignment="1" applyProtection="1">
      <alignment horizontal="center" vertical="center" wrapText="1"/>
    </xf>
    <xf numFmtId="0" fontId="49" fillId="0" borderId="0" xfId="5" applyFont="1" applyBorder="1" applyAlignment="1" applyProtection="1">
      <alignment horizontal="center" vertical="top" wrapText="1"/>
      <protection locked="0"/>
    </xf>
    <xf numFmtId="2" fontId="59" fillId="0" borderId="0" xfId="5" applyNumberFormat="1" applyFont="1" applyBorder="1" applyAlignment="1" applyProtection="1">
      <alignment horizontal="center" vertical="center"/>
      <protection locked="0"/>
    </xf>
    <xf numFmtId="183" fontId="6" fillId="2" borderId="58" xfId="1" applyNumberFormat="1" applyFont="1" applyFill="1" applyBorder="1" applyAlignment="1" applyProtection="1">
      <alignment horizontal="right" vertical="center"/>
    </xf>
    <xf numFmtId="0" fontId="65" fillId="0" borderId="0" xfId="5" applyFont="1" applyBorder="1" applyAlignment="1" applyProtection="1">
      <alignment horizontal="center" vertical="center" wrapText="1"/>
      <protection locked="0"/>
    </xf>
    <xf numFmtId="0" fontId="3" fillId="0" borderId="0" xfId="5" applyBorder="1" applyAlignment="1" applyProtection="1">
      <alignment horizontal="center" vertical="center"/>
      <protection locked="0"/>
    </xf>
    <xf numFmtId="0" fontId="3" fillId="0" borderId="0" xfId="5" applyBorder="1" applyAlignment="1" applyProtection="1">
      <alignment vertical="center"/>
      <protection locked="0"/>
    </xf>
    <xf numFmtId="0" fontId="81" fillId="0" borderId="0" xfId="5" applyFont="1" applyBorder="1" applyAlignment="1" applyProtection="1">
      <alignment vertical="center" wrapText="1"/>
      <protection locked="0"/>
    </xf>
    <xf numFmtId="0" fontId="81" fillId="0" borderId="14" xfId="5" applyFont="1" applyBorder="1" applyAlignment="1" applyProtection="1">
      <alignment horizontal="center" vertical="center" wrapText="1"/>
      <protection locked="0"/>
    </xf>
    <xf numFmtId="0" fontId="81" fillId="0" borderId="14" xfId="5" applyFont="1" applyBorder="1" applyAlignment="1" applyProtection="1">
      <alignment horizontal="right" vertical="center" wrapText="1"/>
      <protection locked="0"/>
    </xf>
    <xf numFmtId="0" fontId="81" fillId="0" borderId="15" xfId="5" applyFont="1" applyBorder="1" applyAlignment="1" applyProtection="1">
      <alignment horizontal="center" vertical="center" wrapText="1"/>
      <protection locked="0"/>
    </xf>
    <xf numFmtId="0" fontId="81" fillId="2" borderId="15" xfId="5" applyFont="1" applyFill="1" applyBorder="1" applyAlignment="1" applyProtection="1">
      <alignment horizontal="center" vertical="center" wrapText="1"/>
      <protection locked="0"/>
    </xf>
    <xf numFmtId="0" fontId="12" fillId="2" borderId="0" xfId="5" applyFont="1" applyFill="1" applyBorder="1" applyAlignment="1" applyProtection="1">
      <alignment vertical="center" wrapText="1"/>
      <protection locked="0"/>
    </xf>
    <xf numFmtId="2" fontId="76" fillId="0" borderId="0" xfId="5" applyNumberFormat="1" applyFont="1" applyBorder="1" applyAlignment="1" applyProtection="1">
      <alignment horizontal="center" vertical="center" wrapText="1"/>
      <protection locked="0"/>
    </xf>
    <xf numFmtId="4" fontId="59" fillId="0" borderId="1" xfId="5" applyNumberFormat="1" applyFont="1" applyBorder="1" applyAlignment="1" applyProtection="1">
      <alignment horizontal="right" vertical="center" wrapText="1"/>
      <protection locked="0"/>
    </xf>
    <xf numFmtId="0" fontId="3" fillId="2" borderId="100" xfId="5" applyFont="1" applyFill="1" applyBorder="1" applyAlignment="1" applyProtection="1">
      <alignment horizontal="center" vertical="center" wrapText="1"/>
      <protection locked="0"/>
    </xf>
    <xf numFmtId="0" fontId="49" fillId="0" borderId="0" xfId="5" applyFont="1" applyAlignment="1" applyProtection="1">
      <alignment vertical="center" wrapText="1"/>
    </xf>
    <xf numFmtId="0" fontId="12" fillId="0" borderId="0" xfId="5" applyFont="1" applyAlignment="1" applyProtection="1">
      <alignment vertical="center" wrapText="1"/>
    </xf>
    <xf numFmtId="0" fontId="12" fillId="0" borderId="0"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0" fontId="69" fillId="0" borderId="1" xfId="5" applyFont="1" applyBorder="1" applyAlignment="1" applyProtection="1">
      <alignment horizontal="center" vertical="center" wrapText="1"/>
      <protection locked="0"/>
    </xf>
    <xf numFmtId="2" fontId="3" fillId="0" borderId="0" xfId="5" applyNumberFormat="1" applyFont="1" applyBorder="1" applyAlignment="1" applyProtection="1">
      <alignment horizontal="right" vertical="center" wrapText="1"/>
      <protection locked="0"/>
    </xf>
    <xf numFmtId="0" fontId="12" fillId="0" borderId="113" xfId="5" applyFont="1" applyBorder="1" applyAlignment="1">
      <alignment horizontal="center" vertical="center" wrapText="1"/>
    </xf>
    <xf numFmtId="0" fontId="59" fillId="0" borderId="1" xfId="5" applyFont="1" applyBorder="1" applyAlignment="1" applyProtection="1">
      <alignment horizontal="center" vertical="center" wrapText="1"/>
      <protection locked="0"/>
    </xf>
    <xf numFmtId="0" fontId="59" fillId="0" borderId="24" xfId="5" applyFont="1" applyBorder="1" applyAlignment="1" applyProtection="1">
      <alignment horizontal="center" vertical="center" wrapText="1"/>
      <protection locked="0"/>
    </xf>
    <xf numFmtId="0" fontId="59" fillId="0" borderId="116" xfId="5" applyFont="1" applyBorder="1" applyAlignment="1" applyProtection="1">
      <alignment horizontal="center" vertical="center" wrapText="1"/>
      <protection locked="0"/>
    </xf>
    <xf numFmtId="0" fontId="60" fillId="0" borderId="0" xfId="5" applyFont="1" applyBorder="1" applyAlignment="1">
      <alignment horizontal="center" vertical="center" wrapText="1"/>
    </xf>
    <xf numFmtId="0" fontId="12" fillId="0" borderId="0" xfId="5" applyFont="1" applyBorder="1" applyAlignment="1">
      <alignment horizontal="center" vertical="center" wrapText="1"/>
    </xf>
    <xf numFmtId="2" fontId="12" fillId="0" borderId="0" xfId="5" applyNumberFormat="1" applyFont="1" applyAlignment="1" applyProtection="1">
      <alignment horizontal="center" vertical="center" wrapText="1"/>
    </xf>
    <xf numFmtId="4" fontId="3" fillId="0" borderId="0" xfId="5" applyNumberFormat="1" applyBorder="1" applyAlignment="1" applyProtection="1">
      <alignment vertical="center"/>
      <protection locked="0"/>
    </xf>
    <xf numFmtId="4" fontId="3" fillId="0" borderId="101" xfId="5" applyNumberFormat="1" applyFont="1" applyBorder="1" applyAlignment="1" applyProtection="1">
      <alignment horizontal="right" vertical="center" wrapText="1"/>
      <protection locked="0"/>
    </xf>
    <xf numFmtId="2" fontId="3" fillId="0" borderId="0" xfId="5" applyNumberFormat="1" applyBorder="1" applyAlignment="1" applyProtection="1">
      <alignment vertical="center" wrapText="1"/>
      <protection locked="0"/>
    </xf>
    <xf numFmtId="0" fontId="49" fillId="0" borderId="0" xfId="5" applyFont="1" applyBorder="1" applyAlignment="1" applyProtection="1">
      <alignment horizontal="left" vertical="center" wrapText="1"/>
      <protection locked="0"/>
    </xf>
    <xf numFmtId="0" fontId="6" fillId="2" borderId="58" xfId="4" applyFont="1" applyFill="1" applyBorder="1" applyAlignment="1" applyProtection="1">
      <alignment horizontal="center" vertical="center"/>
    </xf>
    <xf numFmtId="0" fontId="63" fillId="0" borderId="0" xfId="5" applyFont="1" applyBorder="1" applyAlignment="1" applyProtection="1">
      <alignment horizontal="center" vertical="center"/>
      <protection locked="0"/>
    </xf>
    <xf numFmtId="0" fontId="10" fillId="0" borderId="0" xfId="5" applyFont="1" applyBorder="1" applyAlignment="1">
      <alignment vertical="center"/>
    </xf>
    <xf numFmtId="0" fontId="60" fillId="0" borderId="0" xfId="5" applyFont="1" applyBorder="1" applyAlignment="1">
      <alignment vertical="center" wrapText="1"/>
    </xf>
    <xf numFmtId="10" fontId="3" fillId="0" borderId="0" xfId="5" applyNumberFormat="1" applyFont="1" applyBorder="1" applyAlignment="1">
      <alignment vertical="center" wrapText="1"/>
    </xf>
    <xf numFmtId="10" fontId="3" fillId="0" borderId="0" xfId="5" applyNumberFormat="1" applyFont="1" applyBorder="1" applyAlignment="1">
      <alignment horizontal="center" vertical="center" wrapText="1"/>
    </xf>
    <xf numFmtId="14" fontId="12" fillId="0" borderId="0" xfId="5" applyNumberFormat="1" applyFont="1" applyBorder="1" applyAlignment="1">
      <alignment vertical="center" wrapText="1"/>
    </xf>
    <xf numFmtId="0" fontId="9" fillId="0" borderId="0" xfId="5" applyFont="1" applyBorder="1" applyAlignment="1">
      <alignment vertical="center" wrapText="1"/>
    </xf>
    <xf numFmtId="0" fontId="65" fillId="0" borderId="0" xfId="5" applyFont="1" applyBorder="1" applyAlignment="1">
      <alignment vertical="center" wrapText="1"/>
    </xf>
    <xf numFmtId="10" fontId="3" fillId="0" borderId="0" xfId="5" applyNumberFormat="1" applyFont="1" applyBorder="1" applyAlignment="1">
      <alignment horizontal="right" vertical="center" wrapText="1"/>
    </xf>
    <xf numFmtId="10" fontId="59" fillId="0" borderId="0" xfId="5" applyNumberFormat="1" applyFont="1" applyBorder="1" applyAlignment="1">
      <alignment vertical="center" wrapText="1"/>
    </xf>
    <xf numFmtId="0" fontId="3" fillId="0" borderId="0" xfId="5" applyFont="1" applyBorder="1" applyAlignment="1">
      <alignment vertical="center" wrapText="1"/>
    </xf>
    <xf numFmtId="0" fontId="63" fillId="0" borderId="0" xfId="5" applyFont="1" applyBorder="1" applyAlignment="1">
      <alignment vertical="center" wrapText="1"/>
    </xf>
    <xf numFmtId="0" fontId="54" fillId="0" borderId="0" xfId="5" applyFont="1" applyBorder="1" applyAlignment="1">
      <alignment horizontal="center" vertical="center" wrapText="1"/>
    </xf>
    <xf numFmtId="4" fontId="54" fillId="0" borderId="0" xfId="5" applyNumberFormat="1" applyFont="1" applyBorder="1" applyAlignment="1">
      <alignment horizontal="center" vertical="center" wrapText="1"/>
    </xf>
    <xf numFmtId="43" fontId="12" fillId="0" borderId="0" xfId="1" applyFont="1" applyAlignment="1" applyProtection="1">
      <alignment horizontal="center" vertical="center" wrapText="1"/>
    </xf>
    <xf numFmtId="2" fontId="65" fillId="0" borderId="0" xfId="5" applyNumberFormat="1" applyFont="1" applyBorder="1" applyAlignment="1" applyProtection="1">
      <alignment vertical="center"/>
      <protection locked="0"/>
    </xf>
    <xf numFmtId="0" fontId="69" fillId="0" borderId="100" xfId="5" applyFont="1" applyBorder="1" applyAlignment="1" applyProtection="1">
      <alignment vertical="center" wrapText="1"/>
      <protection locked="0"/>
    </xf>
    <xf numFmtId="0" fontId="69" fillId="0" borderId="0" xfId="5" applyFont="1" applyBorder="1" applyAlignment="1" applyProtection="1">
      <alignment vertical="center" wrapText="1"/>
      <protection locked="0"/>
    </xf>
    <xf numFmtId="0" fontId="80" fillId="0" borderId="0" xfId="5" applyFont="1" applyAlignment="1" applyProtection="1">
      <alignment vertical="center" wrapText="1"/>
      <protection locked="0"/>
    </xf>
    <xf numFmtId="2" fontId="59" fillId="0" borderId="1" xfId="5" applyNumberFormat="1" applyFont="1" applyBorder="1" applyAlignment="1" applyProtection="1">
      <alignment horizontal="center" vertical="center" wrapText="1"/>
    </xf>
    <xf numFmtId="0" fontId="3" fillId="0" borderId="116" xfId="5" applyBorder="1" applyAlignment="1" applyProtection="1">
      <alignment horizontal="center" vertical="center" wrapText="1"/>
      <protection locked="0"/>
    </xf>
    <xf numFmtId="0" fontId="3" fillId="0" borderId="116" xfId="5" applyFont="1" applyBorder="1" applyAlignment="1" applyProtection="1">
      <alignment horizontal="center" vertical="center" wrapText="1"/>
      <protection locked="0"/>
    </xf>
    <xf numFmtId="184" fontId="6" fillId="2" borderId="58" xfId="1" applyNumberFormat="1" applyFont="1" applyFill="1" applyBorder="1" applyAlignment="1" applyProtection="1">
      <alignment horizontal="right" vertical="center"/>
    </xf>
    <xf numFmtId="2" fontId="3" fillId="0" borderId="0" xfId="5" applyNumberFormat="1" applyFont="1" applyBorder="1" applyAlignment="1" applyProtection="1">
      <alignment horizontal="center" vertical="center"/>
      <protection locked="0"/>
    </xf>
    <xf numFmtId="0" fontId="59" fillId="0" borderId="0" xfId="5" applyFont="1" applyBorder="1" applyAlignment="1" applyProtection="1">
      <alignment horizontal="center" vertical="center" wrapText="1"/>
      <protection locked="0"/>
    </xf>
    <xf numFmtId="0" fontId="59" fillId="0" borderId="1" xfId="5" applyFont="1" applyBorder="1" applyAlignment="1" applyProtection="1">
      <alignment horizontal="center" vertical="center" wrapText="1"/>
      <protection locked="0"/>
    </xf>
    <xf numFmtId="2" fontId="3" fillId="0" borderId="13" xfId="5" applyNumberFormat="1" applyBorder="1" applyAlignment="1" applyProtection="1">
      <alignment horizontal="center" vertical="center" wrapText="1"/>
      <protection locked="0"/>
    </xf>
    <xf numFmtId="2" fontId="3" fillId="0" borderId="14" xfId="5" applyNumberFormat="1" applyBorder="1" applyAlignment="1" applyProtection="1">
      <alignment horizontal="center" vertical="center" wrapText="1"/>
      <protection locked="0"/>
    </xf>
    <xf numFmtId="2" fontId="59" fillId="0" borderId="1" xfId="5" applyNumberFormat="1" applyFont="1" applyBorder="1" applyAlignment="1" applyProtection="1">
      <alignment horizontal="center" vertical="center" wrapText="1"/>
      <protection locked="0"/>
    </xf>
    <xf numFmtId="0" fontId="69" fillId="0" borderId="1"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2" fontId="3" fillId="0" borderId="15" xfId="5" applyNumberFormat="1" applyBorder="1" applyAlignment="1" applyProtection="1">
      <alignment horizontal="center" vertical="center" wrapText="1"/>
      <protection locked="0"/>
    </xf>
    <xf numFmtId="0" fontId="49" fillId="0" borderId="0" xfId="5" applyFont="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2" fontId="3" fillId="0" borderId="0" xfId="5" applyNumberFormat="1" applyFont="1" applyBorder="1" applyAlignment="1" applyProtection="1">
      <alignment horizontal="right" vertical="center" wrapText="1"/>
      <protection locked="0"/>
    </xf>
    <xf numFmtId="0" fontId="3" fillId="0" borderId="1" xfId="5" applyBorder="1" applyAlignment="1" applyProtection="1">
      <alignment horizontal="center" vertical="center" wrapText="1"/>
      <protection locked="0"/>
    </xf>
    <xf numFmtId="2" fontId="3" fillId="0" borderId="0" xfId="5" applyNumberFormat="1" applyFont="1" applyBorder="1" applyAlignment="1" applyProtection="1">
      <alignment horizontal="right" vertical="center"/>
      <protection locked="0"/>
    </xf>
    <xf numFmtId="0" fontId="3" fillId="0" borderId="0" xfId="5" applyFont="1" applyBorder="1" applyAlignment="1" applyProtection="1">
      <alignment horizontal="center" vertical="center"/>
      <protection locked="0"/>
    </xf>
    <xf numFmtId="0" fontId="59" fillId="0" borderId="0" xfId="5" applyFont="1" applyBorder="1" applyAlignment="1" applyProtection="1">
      <alignment horizontal="right" vertical="center" wrapText="1"/>
      <protection locked="0"/>
    </xf>
    <xf numFmtId="0" fontId="59" fillId="0" borderId="116" xfId="5" applyFont="1" applyBorder="1" applyAlignment="1" applyProtection="1">
      <alignment horizontal="center" vertical="center" wrapText="1"/>
      <protection locked="0"/>
    </xf>
    <xf numFmtId="0" fontId="12" fillId="0" borderId="100" xfId="5" applyFont="1" applyBorder="1" applyAlignment="1" applyProtection="1">
      <alignment horizontal="right" vertical="top" wrapText="1"/>
      <protection locked="0"/>
    </xf>
    <xf numFmtId="2" fontId="12" fillId="0" borderId="0" xfId="5" applyNumberFormat="1" applyFont="1" applyBorder="1" applyAlignment="1" applyProtection="1">
      <alignment horizontal="center" vertical="center"/>
      <protection locked="0"/>
    </xf>
    <xf numFmtId="0" fontId="12" fillId="0" borderId="0" xfId="5" applyFont="1" applyBorder="1" applyAlignment="1" applyProtection="1">
      <alignment horizontal="center" vertical="center"/>
      <protection locked="0"/>
    </xf>
    <xf numFmtId="4" fontId="12" fillId="0" borderId="0" xfId="5" applyNumberFormat="1" applyFont="1" applyBorder="1" applyAlignment="1" applyProtection="1">
      <alignment horizontal="center" vertical="center"/>
      <protection locked="0"/>
    </xf>
    <xf numFmtId="0" fontId="3" fillId="0" borderId="14" xfId="5" applyBorder="1" applyAlignment="1" applyProtection="1">
      <alignment horizontal="center" vertical="center" wrapText="1"/>
      <protection locked="0"/>
    </xf>
    <xf numFmtId="0" fontId="3" fillId="0" borderId="13" xfId="5" applyBorder="1" applyAlignment="1" applyProtection="1">
      <alignment horizontal="center" vertical="center" wrapText="1"/>
      <protection locked="0"/>
    </xf>
    <xf numFmtId="0" fontId="12" fillId="0" borderId="0" xfId="5" applyFont="1" applyAlignment="1" applyProtection="1">
      <alignment horizontal="center" vertical="center" wrapText="1"/>
      <protection locked="0"/>
    </xf>
    <xf numFmtId="0" fontId="59" fillId="0" borderId="0" xfId="5" applyFont="1" applyBorder="1" applyAlignment="1" applyProtection="1">
      <alignment horizontal="center" vertical="center"/>
      <protection locked="0"/>
    </xf>
    <xf numFmtId="0" fontId="69" fillId="0" borderId="0" xfId="5" applyFont="1" applyBorder="1" applyAlignment="1" applyProtection="1">
      <alignment horizontal="center" vertical="center" wrapText="1"/>
      <protection locked="0"/>
    </xf>
    <xf numFmtId="2" fontId="3" fillId="0" borderId="0" xfId="5" applyNumberFormat="1" applyBorder="1" applyAlignment="1" applyProtection="1">
      <alignment horizontal="center" vertical="center" wrapText="1"/>
      <protection locked="0"/>
    </xf>
    <xf numFmtId="0" fontId="3" fillId="0" borderId="0" xfId="5" applyAlignment="1" applyProtection="1">
      <alignment horizontal="center" vertical="center" wrapText="1"/>
      <protection locked="0"/>
    </xf>
    <xf numFmtId="0" fontId="3" fillId="0" borderId="1"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2" fontId="59" fillId="0" borderId="0" xfId="5" applyNumberFormat="1" applyFont="1" applyBorder="1" applyAlignment="1" applyProtection="1">
      <alignment horizontal="center" vertical="center" wrapText="1"/>
      <protection locked="0"/>
    </xf>
    <xf numFmtId="0" fontId="12" fillId="0" borderId="0" xfId="5" applyFont="1" applyAlignment="1" applyProtection="1">
      <alignment horizontal="center" vertical="center" wrapText="1"/>
      <protection locked="0"/>
    </xf>
    <xf numFmtId="0" fontId="49" fillId="0" borderId="0" xfId="5" applyFont="1" applyAlignment="1" applyProtection="1">
      <alignment horizontal="center" vertical="center" wrapText="1"/>
      <protection locked="0"/>
    </xf>
    <xf numFmtId="0" fontId="69" fillId="0" borderId="0" xfId="5" applyFont="1" applyBorder="1" applyAlignment="1" applyProtection="1">
      <alignment horizontal="center" vertical="center" wrapText="1"/>
      <protection locked="0"/>
    </xf>
    <xf numFmtId="0" fontId="59" fillId="0" borderId="1" xfId="5" applyFont="1" applyBorder="1" applyAlignment="1" applyProtection="1">
      <alignment horizontal="center" vertical="center" wrapText="1"/>
      <protection locked="0"/>
    </xf>
    <xf numFmtId="0" fontId="81" fillId="0" borderId="0" xfId="5" applyFont="1" applyBorder="1" applyAlignment="1" applyProtection="1">
      <alignment horizontal="center" vertical="center" wrapText="1"/>
      <protection locked="0"/>
    </xf>
    <xf numFmtId="2" fontId="3" fillId="0" borderId="0" xfId="5" applyNumberFormat="1" applyFont="1" applyBorder="1" applyAlignment="1" applyProtection="1">
      <alignment horizontal="center" vertical="center" wrapText="1"/>
      <protection locked="0"/>
    </xf>
    <xf numFmtId="0" fontId="59" fillId="0" borderId="0" xfId="5" applyFont="1" applyBorder="1" applyAlignment="1" applyProtection="1">
      <alignment horizontal="right" vertical="center" wrapText="1"/>
      <protection locked="0"/>
    </xf>
    <xf numFmtId="178" fontId="12" fillId="0" borderId="0" xfId="5" applyNumberFormat="1" applyFont="1" applyBorder="1" applyAlignment="1">
      <alignment horizontal="center" vertical="center" wrapText="1"/>
    </xf>
    <xf numFmtId="0" fontId="49" fillId="0" borderId="0" xfId="5" applyFont="1" applyAlignment="1">
      <alignment horizontal="center" vertical="center"/>
    </xf>
    <xf numFmtId="2" fontId="63" fillId="0" borderId="0" xfId="5" applyNumberFormat="1" applyFont="1" applyBorder="1" applyAlignment="1" applyProtection="1">
      <alignment horizontal="center" vertical="center" wrapText="1"/>
      <protection locked="0"/>
    </xf>
    <xf numFmtId="4" fontId="12" fillId="0" borderId="0" xfId="5" applyNumberFormat="1" applyFont="1" applyBorder="1" applyAlignment="1">
      <alignment horizontal="center" vertical="center"/>
    </xf>
    <xf numFmtId="4" fontId="12" fillId="0" borderId="101" xfId="5" applyNumberFormat="1" applyFont="1" applyBorder="1" applyAlignment="1">
      <alignment horizontal="center" vertical="center"/>
    </xf>
    <xf numFmtId="0" fontId="3" fillId="0" borderId="100" xfId="5" applyFont="1" applyBorder="1" applyAlignment="1" applyProtection="1">
      <alignment horizontal="center" vertical="center" wrapText="1"/>
      <protection locked="0"/>
    </xf>
    <xf numFmtId="0" fontId="12" fillId="0" borderId="100" xfId="5" applyFont="1" applyBorder="1" applyAlignment="1" applyProtection="1">
      <alignment horizontal="right" vertical="top" wrapText="1"/>
      <protection locked="0"/>
    </xf>
    <xf numFmtId="4" fontId="12" fillId="0" borderId="0" xfId="5" applyNumberFormat="1" applyFont="1" applyBorder="1" applyAlignment="1" applyProtection="1">
      <alignment horizontal="center" vertical="center"/>
      <protection locked="0"/>
    </xf>
    <xf numFmtId="0" fontId="12" fillId="0" borderId="0" xfId="5" applyFont="1" applyAlignment="1" applyProtection="1">
      <alignment horizontal="center" vertical="center"/>
      <protection locked="0"/>
    </xf>
    <xf numFmtId="0" fontId="60" fillId="0" borderId="0" xfId="5" applyFont="1" applyBorder="1" applyAlignment="1">
      <alignment horizontal="center" vertical="center" wrapText="1"/>
    </xf>
    <xf numFmtId="0" fontId="59" fillId="0" borderId="0" xfId="5" applyFont="1" applyBorder="1" applyAlignment="1" applyProtection="1">
      <alignment horizontal="center" vertical="center"/>
      <protection locked="0"/>
    </xf>
    <xf numFmtId="0" fontId="12" fillId="0" borderId="0" xfId="5" applyFont="1" applyBorder="1" applyAlignment="1">
      <alignment horizontal="center" vertical="center" wrapText="1"/>
    </xf>
    <xf numFmtId="0" fontId="49" fillId="0" borderId="0" xfId="5" applyFont="1" applyBorder="1" applyAlignment="1">
      <alignment horizontal="center" vertical="center"/>
    </xf>
    <xf numFmtId="0" fontId="81" fillId="0" borderId="101" xfId="5" applyFont="1" applyBorder="1" applyAlignment="1" applyProtection="1">
      <alignment horizontal="center" vertical="center" wrapText="1"/>
      <protection locked="0"/>
    </xf>
    <xf numFmtId="0" fontId="59" fillId="0" borderId="101" xfId="5" applyFont="1" applyBorder="1" applyAlignment="1" applyProtection="1">
      <alignment horizontal="center" vertical="center" wrapText="1"/>
      <protection locked="0"/>
    </xf>
    <xf numFmtId="0" fontId="65" fillId="0" borderId="14" xfId="5" applyFont="1" applyBorder="1" applyAlignment="1" applyProtection="1">
      <alignment horizontal="center" vertical="center" wrapText="1"/>
      <protection locked="0"/>
    </xf>
    <xf numFmtId="2" fontId="3" fillId="0" borderId="14" xfId="5" applyNumberFormat="1" applyBorder="1" applyAlignment="1" applyProtection="1">
      <alignment horizontal="center" vertical="center"/>
      <protection locked="0"/>
    </xf>
    <xf numFmtId="0" fontId="69" fillId="0" borderId="1" xfId="5" applyFont="1" applyBorder="1" applyAlignment="1" applyProtection="1">
      <alignment horizontal="center" vertical="center" wrapText="1"/>
      <protection locked="0"/>
    </xf>
    <xf numFmtId="0" fontId="65" fillId="0" borderId="13" xfId="5" applyFont="1" applyBorder="1" applyAlignment="1" applyProtection="1">
      <alignment horizontal="center" vertical="center" wrapText="1"/>
      <protection locked="0"/>
    </xf>
    <xf numFmtId="2" fontId="3" fillId="0" borderId="13" xfId="5" applyNumberFormat="1" applyBorder="1" applyAlignment="1" applyProtection="1">
      <alignment horizontal="center" vertical="center"/>
      <protection locked="0"/>
    </xf>
    <xf numFmtId="0" fontId="65" fillId="0" borderId="0" xfId="5" applyFont="1" applyBorder="1" applyAlignment="1" applyProtection="1">
      <alignment horizontal="center" vertical="center" wrapText="1"/>
      <protection locked="0"/>
    </xf>
    <xf numFmtId="2" fontId="12" fillId="0" borderId="0" xfId="5" applyNumberFormat="1" applyFont="1" applyAlignment="1" applyProtection="1">
      <alignment horizontal="center" vertical="center"/>
      <protection locked="0"/>
    </xf>
    <xf numFmtId="2" fontId="76" fillId="0" borderId="14" xfId="5" applyNumberFormat="1" applyFont="1" applyBorder="1" applyAlignment="1" applyProtection="1">
      <alignment horizontal="center" vertical="center" wrapText="1"/>
      <protection locked="0"/>
    </xf>
    <xf numFmtId="0" fontId="82" fillId="0" borderId="0" xfId="5" applyFont="1" applyBorder="1" applyAlignment="1" applyProtection="1">
      <alignment vertical="center" wrapText="1"/>
      <protection locked="0"/>
    </xf>
    <xf numFmtId="0" fontId="3" fillId="0" borderId="100" xfId="5" applyBorder="1" applyAlignment="1" applyProtection="1">
      <alignment vertical="center" wrapText="1"/>
      <protection locked="0"/>
    </xf>
    <xf numFmtId="2" fontId="3" fillId="0" borderId="0" xfId="5" applyNumberFormat="1" applyAlignment="1" applyProtection="1">
      <alignment horizontal="center" vertical="center" wrapText="1"/>
      <protection locked="0"/>
    </xf>
    <xf numFmtId="2" fontId="3" fillId="0" borderId="101" xfId="5" applyNumberFormat="1" applyBorder="1" applyAlignment="1" applyProtection="1">
      <alignment horizontal="center" vertical="center" wrapText="1"/>
      <protection locked="0"/>
    </xf>
    <xf numFmtId="2" fontId="59" fillId="0" borderId="0" xfId="5" applyNumberFormat="1" applyFont="1" applyAlignment="1" applyProtection="1">
      <alignment horizontal="center" vertical="center" wrapText="1"/>
      <protection locked="0"/>
    </xf>
    <xf numFmtId="2" fontId="49" fillId="0" borderId="0" xfId="5" applyNumberFormat="1" applyFont="1" applyAlignment="1" applyProtection="1">
      <alignment horizontal="center" vertical="center" wrapText="1"/>
      <protection locked="0"/>
    </xf>
    <xf numFmtId="2" fontId="3" fillId="0" borderId="10" xfId="5" applyNumberFormat="1" applyBorder="1" applyAlignment="1" applyProtection="1">
      <alignment horizontal="center" vertical="center" wrapText="1"/>
      <protection locked="0"/>
    </xf>
    <xf numFmtId="0" fontId="3" fillId="0" borderId="10" xfId="5" applyBorder="1" applyAlignment="1" applyProtection="1">
      <alignment horizontal="center" vertical="center" wrapText="1"/>
      <protection locked="0"/>
    </xf>
    <xf numFmtId="2" fontId="3" fillId="0" borderId="1" xfId="5" applyNumberFormat="1" applyBorder="1" applyAlignment="1" applyProtection="1">
      <alignment horizontal="center" vertical="center" wrapText="1"/>
      <protection locked="0"/>
    </xf>
    <xf numFmtId="0" fontId="63" fillId="0" borderId="0" xfId="5" applyFont="1" applyBorder="1" applyAlignment="1" applyProtection="1">
      <alignment horizontal="right" vertical="center" wrapText="1"/>
      <protection locked="0"/>
    </xf>
    <xf numFmtId="0" fontId="49" fillId="0" borderId="8" xfId="5" applyFont="1" applyBorder="1" applyAlignment="1" applyProtection="1">
      <alignment horizontal="center" vertical="center" wrapText="1"/>
      <protection locked="0"/>
    </xf>
    <xf numFmtId="2" fontId="49" fillId="0" borderId="8" xfId="5" applyNumberFormat="1" applyFont="1" applyBorder="1" applyAlignment="1" applyProtection="1">
      <alignment horizontal="center" vertical="center" wrapText="1"/>
      <protection locked="0"/>
    </xf>
    <xf numFmtId="0" fontId="49" fillId="0" borderId="9" xfId="5" applyFont="1" applyBorder="1" applyAlignment="1" applyProtection="1">
      <alignment horizontal="center" vertical="center" wrapText="1"/>
      <protection locked="0"/>
    </xf>
    <xf numFmtId="2" fontId="3" fillId="0" borderId="1" xfId="5" applyNumberFormat="1" applyBorder="1" applyAlignment="1" applyProtection="1">
      <alignment horizontal="right" vertical="center" wrapText="1"/>
      <protection locked="0"/>
    </xf>
    <xf numFmtId="0" fontId="81" fillId="0" borderId="128" xfId="5" applyFont="1" applyBorder="1" applyAlignment="1" applyProtection="1">
      <alignment horizontal="center" vertical="center" wrapText="1"/>
      <protection locked="0"/>
    </xf>
    <xf numFmtId="0" fontId="81" fillId="2" borderId="128" xfId="5" applyFont="1" applyFill="1" applyBorder="1" applyAlignment="1" applyProtection="1">
      <alignment horizontal="center" vertical="center" wrapText="1"/>
      <protection locked="0"/>
    </xf>
    <xf numFmtId="0" fontId="81" fillId="2" borderId="128" xfId="5" applyFont="1" applyFill="1" applyBorder="1" applyAlignment="1" applyProtection="1">
      <alignment horizontal="right" vertical="center" wrapText="1"/>
      <protection locked="0"/>
    </xf>
    <xf numFmtId="0" fontId="81" fillId="2" borderId="15" xfId="5" applyFont="1" applyFill="1" applyBorder="1" applyAlignment="1" applyProtection="1">
      <alignment vertical="center" wrapText="1"/>
      <protection locked="0"/>
    </xf>
    <xf numFmtId="0" fontId="81" fillId="0" borderId="101" xfId="5" applyFont="1" applyBorder="1" applyAlignment="1" applyProtection="1">
      <alignment vertical="center" wrapText="1"/>
      <protection locked="0"/>
    </xf>
    <xf numFmtId="2" fontId="3" fillId="0" borderId="13" xfId="5" applyNumberFormat="1" applyBorder="1" applyAlignment="1" applyProtection="1">
      <alignment vertical="center"/>
      <protection locked="0"/>
    </xf>
    <xf numFmtId="2" fontId="3" fillId="0" borderId="14" xfId="5" applyNumberFormat="1" applyBorder="1" applyAlignment="1" applyProtection="1">
      <alignment vertical="center"/>
      <protection locked="0"/>
    </xf>
    <xf numFmtId="4" fontId="59" fillId="0" borderId="1" xfId="5" applyNumberFormat="1" applyFont="1" applyBorder="1" applyAlignment="1" applyProtection="1">
      <alignment horizontal="center" vertical="center"/>
      <protection locked="0"/>
    </xf>
    <xf numFmtId="4" fontId="3" fillId="0" borderId="1" xfId="5" applyNumberFormat="1" applyFont="1" applyBorder="1" applyAlignment="1" applyProtection="1">
      <alignment horizontal="right" vertical="center" wrapText="1"/>
      <protection locked="0"/>
    </xf>
    <xf numFmtId="2" fontId="3" fillId="0" borderId="1" xfId="5" applyNumberFormat="1" applyFont="1" applyBorder="1" applyAlignment="1" applyProtection="1">
      <alignment vertical="center" wrapText="1"/>
      <protection locked="0"/>
    </xf>
    <xf numFmtId="2" fontId="3" fillId="0" borderId="1" xfId="5" applyNumberFormat="1" applyFont="1" applyBorder="1" applyAlignment="1" applyProtection="1">
      <alignment horizontal="right" vertical="center"/>
      <protection locked="0"/>
    </xf>
    <xf numFmtId="4" fontId="3" fillId="0" borderId="1" xfId="5" applyNumberFormat="1" applyFont="1" applyBorder="1" applyAlignment="1" applyProtection="1">
      <alignment vertical="center" wrapText="1"/>
      <protection locked="0"/>
    </xf>
    <xf numFmtId="2" fontId="66" fillId="0" borderId="1" xfId="5" applyNumberFormat="1" applyFont="1" applyBorder="1" applyAlignment="1" applyProtection="1">
      <alignment vertical="center" wrapText="1"/>
      <protection locked="0"/>
    </xf>
    <xf numFmtId="0" fontId="10" fillId="0" borderId="1" xfId="5" applyFont="1" applyBorder="1" applyAlignment="1" applyProtection="1">
      <alignment horizontal="center" vertical="center" wrapText="1"/>
      <protection locked="0"/>
    </xf>
    <xf numFmtId="4" fontId="3" fillId="0" borderId="13" xfId="5" applyNumberFormat="1" applyBorder="1" applyAlignment="1" applyProtection="1">
      <alignment horizontal="right" vertical="center" wrapText="1"/>
      <protection locked="0"/>
    </xf>
    <xf numFmtId="4" fontId="3" fillId="0" borderId="14" xfId="5" applyNumberFormat="1" applyBorder="1" applyAlignment="1" applyProtection="1">
      <alignment horizontal="right" vertical="center" wrapText="1"/>
      <protection locked="0"/>
    </xf>
    <xf numFmtId="0" fontId="10" fillId="0" borderId="100" xfId="5" applyFont="1" applyBorder="1" applyAlignment="1" applyProtection="1">
      <alignment vertical="center" wrapText="1"/>
      <protection locked="0"/>
    </xf>
    <xf numFmtId="2" fontId="65" fillId="0" borderId="13" xfId="5" applyNumberFormat="1" applyFont="1" applyBorder="1" applyAlignment="1" applyProtection="1">
      <alignment vertical="center" wrapText="1"/>
      <protection locked="0"/>
    </xf>
    <xf numFmtId="0" fontId="65" fillId="0" borderId="13" xfId="5" applyFont="1" applyBorder="1" applyAlignment="1" applyProtection="1">
      <alignment vertical="center" wrapText="1"/>
      <protection locked="0"/>
    </xf>
    <xf numFmtId="0" fontId="65" fillId="0" borderId="0" xfId="5" applyFont="1" applyAlignment="1" applyProtection="1">
      <alignment vertical="center" wrapText="1"/>
      <protection locked="0"/>
    </xf>
    <xf numFmtId="2" fontId="65" fillId="0" borderId="14" xfId="5" applyNumberFormat="1" applyFont="1" applyBorder="1" applyAlignment="1" applyProtection="1">
      <alignment vertical="center" wrapText="1"/>
      <protection locked="0"/>
    </xf>
    <xf numFmtId="0" fontId="65" fillId="0" borderId="14" xfId="5" applyFont="1" applyBorder="1" applyAlignment="1" applyProtection="1">
      <alignment vertical="center" wrapText="1"/>
      <protection locked="0"/>
    </xf>
    <xf numFmtId="2" fontId="65" fillId="0" borderId="15" xfId="5" applyNumberFormat="1" applyFont="1" applyBorder="1" applyAlignment="1" applyProtection="1">
      <alignment vertical="center" wrapText="1"/>
      <protection locked="0"/>
    </xf>
    <xf numFmtId="0" fontId="65" fillId="0" borderId="15" xfId="5" applyFont="1" applyBorder="1" applyAlignment="1" applyProtection="1">
      <alignment vertical="center" wrapText="1"/>
      <protection locked="0"/>
    </xf>
    <xf numFmtId="0" fontId="65" fillId="0" borderId="15" xfId="5" applyFont="1" applyBorder="1" applyAlignment="1" applyProtection="1">
      <alignment horizontal="center" vertical="center" wrapText="1"/>
      <protection locked="0"/>
    </xf>
    <xf numFmtId="4" fontId="12" fillId="0" borderId="0" xfId="5" applyNumberFormat="1" applyFont="1" applyAlignment="1" applyProtection="1">
      <alignment horizontal="center" vertical="center" wrapText="1"/>
    </xf>
    <xf numFmtId="0" fontId="80" fillId="0" borderId="101" xfId="5" applyFont="1" applyBorder="1" applyAlignment="1" applyProtection="1">
      <alignment vertical="center" wrapText="1"/>
      <protection locked="0"/>
    </xf>
    <xf numFmtId="0" fontId="80" fillId="0" borderId="0" xfId="5" applyFont="1" applyBorder="1" applyAlignment="1" applyProtection="1">
      <alignment vertical="center" wrapText="1"/>
      <protection locked="0"/>
    </xf>
    <xf numFmtId="181" fontId="3" fillId="0" borderId="0" xfId="5" applyNumberFormat="1" applyBorder="1" applyAlignment="1" applyProtection="1">
      <alignment vertical="center" wrapText="1"/>
      <protection locked="0"/>
    </xf>
    <xf numFmtId="2" fontId="3" fillId="0" borderId="15" xfId="5" applyNumberFormat="1" applyBorder="1" applyAlignment="1" applyProtection="1">
      <alignment horizontal="right" vertical="center" wrapText="1"/>
      <protection locked="0"/>
    </xf>
    <xf numFmtId="0" fontId="3" fillId="0" borderId="1" xfId="5" applyFont="1" applyBorder="1" applyAlignment="1" applyProtection="1">
      <alignment horizontal="right" vertical="center" wrapText="1"/>
      <protection locked="0"/>
    </xf>
    <xf numFmtId="180" fontId="59" fillId="0" borderId="0" xfId="5" applyNumberFormat="1" applyFont="1" applyBorder="1" applyAlignment="1" applyProtection="1">
      <alignment horizontal="center" vertical="center"/>
      <protection locked="0"/>
    </xf>
    <xf numFmtId="2" fontId="3" fillId="0" borderId="16" xfId="5" applyNumberFormat="1" applyBorder="1" applyAlignment="1" applyProtection="1">
      <alignment vertical="center" wrapText="1"/>
      <protection locked="0"/>
    </xf>
    <xf numFmtId="2" fontId="3" fillId="0" borderId="14" xfId="5" applyNumberFormat="1" applyBorder="1" applyAlignment="1" applyProtection="1">
      <alignment vertical="center" wrapText="1"/>
      <protection locked="0"/>
    </xf>
    <xf numFmtId="2" fontId="3" fillId="0" borderId="15" xfId="5" applyNumberFormat="1" applyBorder="1" applyAlignment="1" applyProtection="1">
      <alignment vertical="center" wrapText="1"/>
      <protection locked="0"/>
    </xf>
    <xf numFmtId="0" fontId="49" fillId="0" borderId="0" xfId="5" applyFont="1" applyBorder="1" applyAlignment="1" applyProtection="1">
      <alignment vertical="center"/>
      <protection locked="0"/>
    </xf>
    <xf numFmtId="2" fontId="3" fillId="0" borderId="13" xfId="5" applyNumberFormat="1" applyBorder="1" applyAlignment="1" applyProtection="1">
      <alignment vertical="center" wrapText="1"/>
      <protection locked="0"/>
    </xf>
    <xf numFmtId="2" fontId="3" fillId="0" borderId="13" xfId="5" applyNumberFormat="1" applyFont="1" applyBorder="1" applyAlignment="1" applyProtection="1">
      <alignment vertical="center" wrapText="1"/>
      <protection locked="0"/>
    </xf>
    <xf numFmtId="2" fontId="3" fillId="0" borderId="14" xfId="5" applyNumberFormat="1" applyFont="1" applyBorder="1" applyAlignment="1" applyProtection="1">
      <alignment vertical="center" wrapText="1"/>
      <protection locked="0"/>
    </xf>
    <xf numFmtId="0" fontId="3" fillId="0" borderId="14" xfId="5" applyFont="1" applyBorder="1" applyAlignment="1" applyProtection="1">
      <alignment vertical="center" wrapText="1"/>
      <protection locked="0"/>
    </xf>
    <xf numFmtId="2" fontId="3" fillId="0" borderId="14" xfId="5" applyNumberFormat="1" applyFont="1" applyBorder="1" applyAlignment="1" applyProtection="1">
      <alignment vertical="center"/>
      <protection locked="0"/>
    </xf>
    <xf numFmtId="0" fontId="66" fillId="2" borderId="0" xfId="5" applyFont="1" applyFill="1" applyBorder="1" applyAlignment="1" applyProtection="1">
      <alignment horizontal="center" vertical="center"/>
      <protection locked="0"/>
    </xf>
    <xf numFmtId="2" fontId="66" fillId="2" borderId="0" xfId="5" applyNumberFormat="1" applyFont="1" applyFill="1" applyBorder="1" applyAlignment="1" applyProtection="1">
      <alignment horizontal="center" vertical="center"/>
      <protection locked="0"/>
    </xf>
    <xf numFmtId="4" fontId="66" fillId="2" borderId="0" xfId="5" applyNumberFormat="1" applyFont="1" applyFill="1" applyBorder="1" applyAlignment="1" applyProtection="1">
      <alignment horizontal="center" vertical="center"/>
      <protection locked="0"/>
    </xf>
    <xf numFmtId="2" fontId="76" fillId="2" borderId="0" xfId="5" applyNumberFormat="1" applyFont="1" applyFill="1" applyBorder="1" applyAlignment="1" applyProtection="1">
      <alignment horizontal="right" vertical="center"/>
      <protection locked="0"/>
    </xf>
    <xf numFmtId="4" fontId="76" fillId="2" borderId="0" xfId="5" applyNumberFormat="1" applyFont="1" applyFill="1" applyBorder="1" applyAlignment="1" applyProtection="1">
      <alignment vertical="center"/>
      <protection locked="0"/>
    </xf>
    <xf numFmtId="0" fontId="54" fillId="0" borderId="0"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4" fontId="12" fillId="0" borderId="0" xfId="5" applyNumberFormat="1" applyFont="1" applyBorder="1" applyAlignment="1" applyProtection="1">
      <alignment horizontal="center" vertical="center"/>
      <protection locked="0"/>
    </xf>
    <xf numFmtId="4" fontId="49" fillId="0" borderId="0" xfId="5" applyNumberFormat="1" applyFont="1" applyBorder="1" applyAlignment="1" applyProtection="1">
      <alignment horizontal="center" vertical="center" wrapText="1"/>
      <protection locked="0"/>
    </xf>
    <xf numFmtId="0" fontId="12" fillId="0" borderId="0" xfId="5" applyFont="1" applyBorder="1" applyAlignment="1" applyProtection="1">
      <alignment horizontal="center" vertical="center"/>
      <protection locked="0"/>
    </xf>
    <xf numFmtId="0" fontId="54" fillId="0" borderId="0" xfId="5" applyFont="1" applyBorder="1" applyAlignment="1" applyProtection="1">
      <alignment horizontal="right" vertical="center" wrapText="1"/>
      <protection locked="0"/>
    </xf>
    <xf numFmtId="0" fontId="12" fillId="0" borderId="0" xfId="5" applyFont="1" applyBorder="1" applyAlignment="1" applyProtection="1">
      <alignment horizontal="left" vertical="center" wrapText="1"/>
      <protection locked="0"/>
    </xf>
    <xf numFmtId="0" fontId="69" fillId="0" borderId="0" xfId="5" applyFont="1" applyBorder="1" applyAlignment="1" applyProtection="1">
      <alignment horizontal="center" vertical="center" wrapText="1"/>
      <protection locked="0"/>
    </xf>
    <xf numFmtId="0" fontId="3" fillId="0" borderId="0"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2" fontId="3" fillId="0" borderId="0" xfId="5" applyNumberFormat="1" applyFont="1" applyBorder="1" applyAlignment="1" applyProtection="1">
      <alignment horizontal="center" vertical="center" wrapText="1"/>
      <protection locked="0"/>
    </xf>
    <xf numFmtId="0" fontId="3" fillId="0" borderId="13" xfId="5" applyBorder="1" applyAlignment="1" applyProtection="1">
      <alignment horizontal="center" vertical="center" wrapText="1"/>
      <protection locked="0"/>
    </xf>
    <xf numFmtId="0" fontId="3" fillId="0" borderId="14" xfId="5"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0" fontId="69" fillId="0" borderId="1" xfId="5" applyFont="1" applyBorder="1" applyAlignment="1" applyProtection="1">
      <alignment horizontal="center" vertical="center" wrapText="1"/>
      <protection locked="0"/>
    </xf>
    <xf numFmtId="2" fontId="3" fillId="0" borderId="14" xfId="5" applyNumberFormat="1" applyBorder="1" applyAlignment="1" applyProtection="1">
      <alignment horizontal="center" vertical="center"/>
      <protection locked="0"/>
    </xf>
    <xf numFmtId="2" fontId="3" fillId="0" borderId="13" xfId="5" applyNumberFormat="1" applyBorder="1" applyAlignment="1" applyProtection="1">
      <alignment horizontal="center" vertical="center"/>
      <protection locked="0"/>
    </xf>
    <xf numFmtId="2" fontId="3" fillId="0" borderId="0" xfId="5" applyNumberFormat="1" applyFont="1" applyBorder="1" applyAlignment="1" applyProtection="1">
      <alignment horizontal="center" vertical="center"/>
      <protection locked="0"/>
    </xf>
    <xf numFmtId="4" fontId="12" fillId="0" borderId="0" xfId="5" applyNumberFormat="1" applyFont="1" applyBorder="1" applyAlignment="1" applyProtection="1">
      <alignment horizontal="center" vertical="center"/>
      <protection locked="0"/>
    </xf>
    <xf numFmtId="2" fontId="59" fillId="0" borderId="1" xfId="5" applyNumberFormat="1" applyFont="1" applyBorder="1" applyAlignment="1" applyProtection="1">
      <alignment horizontal="center" vertical="center" wrapText="1"/>
      <protection locked="0"/>
    </xf>
    <xf numFmtId="2" fontId="59" fillId="0" borderId="1" xfId="5" applyNumberFormat="1" applyFont="1" applyBorder="1" applyAlignment="1" applyProtection="1">
      <alignment horizontal="center" vertical="center"/>
      <protection locked="0"/>
    </xf>
    <xf numFmtId="2" fontId="59" fillId="0" borderId="0" xfId="5" applyNumberFormat="1" applyFont="1" applyBorder="1" applyAlignment="1" applyProtection="1">
      <alignment horizontal="center" vertical="center" wrapText="1"/>
      <protection locked="0"/>
    </xf>
    <xf numFmtId="2" fontId="49" fillId="0" borderId="105" xfId="5" applyNumberFormat="1" applyFont="1" applyBorder="1" applyAlignment="1" applyProtection="1">
      <alignment vertical="center"/>
      <protection locked="0"/>
    </xf>
    <xf numFmtId="2" fontId="3" fillId="0" borderId="0" xfId="5" applyNumberFormat="1" applyFont="1" applyBorder="1" applyAlignment="1" applyProtection="1">
      <alignment horizontal="center" vertical="center" wrapText="1"/>
      <protection locked="0"/>
    </xf>
    <xf numFmtId="0" fontId="12" fillId="0" borderId="0" xfId="5" applyFont="1" applyBorder="1" applyAlignment="1" applyProtection="1">
      <alignment horizontal="center" vertical="center" wrapText="1"/>
      <protection locked="0"/>
    </xf>
    <xf numFmtId="0" fontId="49" fillId="0" borderId="0" xfId="5" applyFont="1" applyBorder="1" applyAlignment="1" applyProtection="1">
      <alignment horizontal="center" vertical="center" wrapText="1"/>
      <protection locked="0"/>
    </xf>
    <xf numFmtId="4" fontId="12" fillId="0" borderId="0" xfId="5" applyNumberFormat="1" applyFont="1" applyBorder="1" applyAlignment="1" applyProtection="1">
      <alignment horizontal="center" vertical="center"/>
      <protection locked="0"/>
    </xf>
    <xf numFmtId="4" fontId="49" fillId="0" borderId="0" xfId="5" applyNumberFormat="1" applyFont="1" applyBorder="1" applyAlignment="1" applyProtection="1">
      <alignment horizontal="center" vertical="center" wrapText="1"/>
      <protection locked="0"/>
    </xf>
    <xf numFmtId="0" fontId="54" fillId="0" borderId="0" xfId="5" applyFont="1" applyBorder="1" applyAlignment="1" applyProtection="1">
      <alignment horizontal="right" vertical="center" wrapText="1"/>
      <protection locked="0"/>
    </xf>
    <xf numFmtId="0" fontId="5" fillId="0" borderId="105" xfId="5" applyFont="1" applyBorder="1" applyAlignment="1" applyProtection="1">
      <alignment horizontal="center" vertical="center"/>
      <protection locked="0"/>
    </xf>
    <xf numFmtId="4" fontId="49" fillId="0" borderId="105" xfId="5" applyNumberFormat="1" applyFont="1" applyBorder="1" applyAlignment="1" applyProtection="1">
      <alignment vertical="center"/>
      <protection locked="0"/>
    </xf>
    <xf numFmtId="4" fontId="49" fillId="0" borderId="107" xfId="5" applyNumberFormat="1" applyFont="1" applyBorder="1" applyAlignment="1" applyProtection="1">
      <alignment horizontal="center" vertical="center"/>
      <protection locked="0"/>
    </xf>
    <xf numFmtId="0" fontId="59" fillId="0" borderId="116" xfId="5" applyFont="1" applyBorder="1" applyAlignment="1" applyProtection="1">
      <alignment vertical="center" wrapText="1"/>
      <protection locked="0"/>
    </xf>
    <xf numFmtId="2" fontId="59" fillId="0" borderId="116" xfId="5" applyNumberFormat="1" applyFont="1" applyBorder="1" applyAlignment="1" applyProtection="1">
      <alignment horizontal="center" vertical="center" wrapText="1"/>
      <protection locked="0"/>
    </xf>
    <xf numFmtId="2" fontId="59" fillId="0" borderId="116" xfId="5" applyNumberFormat="1" applyFont="1" applyBorder="1" applyAlignment="1" applyProtection="1">
      <alignment vertical="center"/>
      <protection locked="0"/>
    </xf>
    <xf numFmtId="2" fontId="3" fillId="0" borderId="1" xfId="5" applyNumberFormat="1" applyFont="1" applyBorder="1" applyAlignment="1" applyProtection="1">
      <alignment vertical="center"/>
      <protection locked="0"/>
    </xf>
    <xf numFmtId="2" fontId="59" fillId="0" borderId="24" xfId="5" applyNumberFormat="1" applyFont="1" applyBorder="1" applyAlignment="1" applyProtection="1">
      <alignment horizontal="center" vertical="center"/>
      <protection locked="0"/>
    </xf>
    <xf numFmtId="0" fontId="59" fillId="0" borderId="24" xfId="5" applyFont="1" applyBorder="1" applyAlignment="1" applyProtection="1">
      <alignment horizontal="center" vertical="center"/>
      <protection locked="0"/>
    </xf>
    <xf numFmtId="0" fontId="12" fillId="0" borderId="100" xfId="5" applyFont="1" applyBorder="1" applyAlignment="1" applyProtection="1">
      <alignment horizontal="center" vertical="center" wrapText="1"/>
      <protection locked="0"/>
    </xf>
    <xf numFmtId="0" fontId="3" fillId="0" borderId="8" xfId="5" applyFont="1" applyBorder="1" applyAlignment="1" applyProtection="1">
      <alignment horizontal="center" vertical="center"/>
      <protection locked="0"/>
    </xf>
    <xf numFmtId="2" fontId="93" fillId="2" borderId="1" xfId="5" applyNumberFormat="1" applyFont="1" applyFill="1" applyBorder="1" applyAlignment="1" applyProtection="1">
      <alignment vertical="center" wrapText="1"/>
      <protection locked="0"/>
    </xf>
    <xf numFmtId="0" fontId="94" fillId="2" borderId="1" xfId="5" applyFont="1" applyFill="1" applyBorder="1" applyAlignment="1" applyProtection="1">
      <alignment horizontal="center" vertical="center" wrapText="1"/>
      <protection locked="0"/>
    </xf>
    <xf numFmtId="0" fontId="88" fillId="0" borderId="0" xfId="5" applyFont="1" applyBorder="1" applyAlignment="1" applyProtection="1">
      <alignment vertical="center" wrapText="1"/>
      <protection locked="0"/>
    </xf>
    <xf numFmtId="0" fontId="88" fillId="0" borderId="101" xfId="5" applyFont="1" applyBorder="1" applyAlignment="1" applyProtection="1">
      <alignment vertical="center" wrapText="1"/>
      <protection locked="0"/>
    </xf>
    <xf numFmtId="0" fontId="88" fillId="0" borderId="95" xfId="5" applyFont="1" applyBorder="1" applyAlignment="1" applyProtection="1">
      <alignment vertical="center" wrapText="1"/>
      <protection locked="0"/>
    </xf>
    <xf numFmtId="0" fontId="88" fillId="0" borderId="98" xfId="5" applyFont="1" applyBorder="1" applyAlignment="1" applyProtection="1">
      <alignment vertical="center" wrapText="1"/>
      <protection locked="0"/>
    </xf>
    <xf numFmtId="2" fontId="3" fillId="0" borderId="1" xfId="5" applyNumberFormat="1" applyFont="1" applyBorder="1" applyAlignment="1" applyProtection="1">
      <alignment horizontal="center" vertical="center" wrapText="1"/>
      <protection locked="0"/>
    </xf>
    <xf numFmtId="2" fontId="3" fillId="0" borderId="14" xfId="5" applyNumberFormat="1" applyFont="1" applyBorder="1" applyAlignment="1" applyProtection="1">
      <alignment horizontal="right" vertical="center" wrapText="1"/>
      <protection locked="0"/>
    </xf>
    <xf numFmtId="0" fontId="59" fillId="0" borderId="1"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0" fontId="59" fillId="0" borderId="101" xfId="5" applyFont="1" applyBorder="1" applyAlignment="1" applyProtection="1">
      <alignment horizontal="center" vertical="center" wrapText="1"/>
      <protection locked="0"/>
    </xf>
    <xf numFmtId="0" fontId="59" fillId="0" borderId="1" xfId="5" applyFont="1" applyBorder="1" applyAlignment="1" applyProtection="1">
      <alignment horizontal="center" vertical="center" wrapText="1"/>
      <protection locked="0"/>
    </xf>
    <xf numFmtId="2" fontId="3" fillId="0" borderId="13" xfId="5" applyNumberFormat="1" applyBorder="1" applyAlignment="1" applyProtection="1">
      <alignment horizontal="center" vertical="center" wrapText="1"/>
      <protection locked="0"/>
    </xf>
    <xf numFmtId="0" fontId="3" fillId="0" borderId="13" xfId="5" applyBorder="1" applyAlignment="1" applyProtection="1">
      <alignment horizontal="center" vertical="center" wrapText="1"/>
      <protection locked="0"/>
    </xf>
    <xf numFmtId="2" fontId="3" fillId="0" borderId="14" xfId="5" applyNumberForma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0" fontId="3" fillId="0" borderId="15" xfId="5" applyBorder="1" applyAlignment="1" applyProtection="1">
      <alignment horizontal="center" vertical="center" wrapText="1"/>
      <protection locked="0"/>
    </xf>
    <xf numFmtId="0" fontId="49" fillId="0" borderId="0" xfId="5" applyFont="1" applyAlignment="1">
      <alignment horizontal="center" vertical="center"/>
    </xf>
    <xf numFmtId="2" fontId="59" fillId="0" borderId="1" xfId="5" applyNumberFormat="1" applyFont="1" applyBorder="1" applyAlignment="1" applyProtection="1">
      <alignment horizontal="center" vertical="center" wrapText="1"/>
      <protection locked="0"/>
    </xf>
    <xf numFmtId="0" fontId="12" fillId="0" borderId="0" xfId="5" applyFont="1" applyBorder="1" applyAlignment="1">
      <alignment horizontal="center" vertical="center" wrapText="1"/>
    </xf>
    <xf numFmtId="0" fontId="12" fillId="0" borderId="0" xfId="5" applyFont="1" applyAlignment="1">
      <alignment horizontal="center" vertical="center" wrapText="1"/>
    </xf>
    <xf numFmtId="2" fontId="3" fillId="0" borderId="15" xfId="5" applyNumberFormat="1" applyBorder="1" applyAlignment="1" applyProtection="1">
      <alignment horizontal="center" vertical="center" wrapText="1"/>
      <protection locked="0"/>
    </xf>
    <xf numFmtId="0" fontId="3" fillId="0" borderId="1" xfId="5" applyBorder="1" applyAlignment="1" applyProtection="1">
      <alignment horizontal="center" vertical="center" wrapText="1"/>
      <protection locked="0"/>
    </xf>
    <xf numFmtId="2" fontId="3" fillId="0" borderId="1" xfId="5" applyNumberFormat="1" applyBorder="1" applyAlignment="1" applyProtection="1">
      <alignment horizontal="center" vertical="center" wrapText="1"/>
      <protection locked="0"/>
    </xf>
    <xf numFmtId="0" fontId="49" fillId="0" borderId="1" xfId="5" applyFont="1" applyBorder="1" applyAlignment="1" applyProtection="1">
      <alignment horizontal="center" vertical="center" wrapText="1"/>
      <protection locked="0"/>
    </xf>
    <xf numFmtId="0" fontId="3" fillId="0" borderId="14" xfId="5" applyFont="1" applyBorder="1" applyAlignment="1" applyProtection="1">
      <alignment horizontal="center" vertical="center" wrapText="1"/>
      <protection locked="0"/>
    </xf>
    <xf numFmtId="2" fontId="3" fillId="0" borderId="14" xfId="5" applyNumberFormat="1" applyFont="1" applyBorder="1" applyAlignment="1" applyProtection="1">
      <alignment horizontal="right" vertical="center" wrapText="1"/>
      <protection locked="0"/>
    </xf>
    <xf numFmtId="0" fontId="65" fillId="0" borderId="118" xfId="5" applyFont="1" applyBorder="1" applyAlignment="1" applyProtection="1">
      <alignment vertical="center" wrapText="1"/>
      <protection locked="0"/>
    </xf>
    <xf numFmtId="178" fontId="12" fillId="0" borderId="0" xfId="5" applyNumberFormat="1" applyFont="1" applyAlignment="1" applyProtection="1">
      <alignment horizontal="center" vertical="center" wrapText="1"/>
    </xf>
    <xf numFmtId="2" fontId="3" fillId="0" borderId="0" xfId="5" applyNumberFormat="1" applyBorder="1" applyAlignment="1" applyProtection="1">
      <alignment horizontal="center" vertical="center"/>
      <protection locked="0"/>
    </xf>
    <xf numFmtId="0" fontId="3" fillId="0" borderId="118" xfId="5" applyFont="1" applyBorder="1" applyAlignment="1" applyProtection="1">
      <alignment vertical="center" wrapText="1"/>
      <protection locked="0"/>
    </xf>
    <xf numFmtId="2" fontId="3" fillId="0" borderId="118" xfId="5" applyNumberFormat="1" applyFont="1" applyBorder="1" applyAlignment="1" applyProtection="1">
      <alignment vertical="center" wrapText="1"/>
      <protection locked="0"/>
    </xf>
    <xf numFmtId="2" fontId="49" fillId="0" borderId="1" xfId="5" applyNumberFormat="1" applyFont="1" applyBorder="1" applyAlignment="1" applyProtection="1">
      <alignment horizontal="right" vertical="center" wrapText="1"/>
      <protection locked="0"/>
    </xf>
    <xf numFmtId="2" fontId="3" fillId="0" borderId="16" xfId="5" applyNumberFormat="1" applyFont="1" applyBorder="1" applyAlignment="1" applyProtection="1">
      <alignment horizontal="right" vertical="center" wrapText="1"/>
      <protection locked="0"/>
    </xf>
    <xf numFmtId="2" fontId="3" fillId="0" borderId="14" xfId="5" applyNumberFormat="1" applyBorder="1" applyAlignment="1" applyProtection="1">
      <alignment horizontal="center" vertical="center"/>
      <protection locked="0"/>
    </xf>
    <xf numFmtId="2" fontId="3" fillId="0" borderId="13" xfId="5" applyNumberFormat="1" applyBorder="1" applyAlignment="1" applyProtection="1">
      <alignment horizontal="center" vertical="center"/>
      <protection locked="0"/>
    </xf>
    <xf numFmtId="9" fontId="59" fillId="0" borderId="1" xfId="5" applyNumberFormat="1" applyFont="1" applyBorder="1" applyAlignment="1" applyProtection="1">
      <alignment horizontal="center" vertical="center" wrapText="1"/>
      <protection locked="0"/>
    </xf>
    <xf numFmtId="0" fontId="3" fillId="0" borderId="13" xfId="5" applyFont="1" applyBorder="1" applyAlignment="1" applyProtection="1">
      <alignment horizontal="center" vertical="center"/>
      <protection locked="0"/>
    </xf>
    <xf numFmtId="0" fontId="3" fillId="0" borderId="14" xfId="5" applyFont="1" applyBorder="1" applyAlignment="1" applyProtection="1">
      <alignment horizontal="center" vertical="center"/>
      <protection locked="0"/>
    </xf>
    <xf numFmtId="0" fontId="12" fillId="0" borderId="14" xfId="5" applyFont="1" applyBorder="1" applyAlignment="1" applyProtection="1">
      <alignment horizontal="center" vertical="center"/>
      <protection locked="0"/>
    </xf>
    <xf numFmtId="0" fontId="12" fillId="0" borderId="15" xfId="5" applyFont="1" applyBorder="1" applyAlignment="1" applyProtection="1">
      <alignment horizontal="center" vertical="center"/>
      <protection locked="0"/>
    </xf>
    <xf numFmtId="2" fontId="3" fillId="0" borderId="1" xfId="5" applyNumberFormat="1" applyFont="1" applyBorder="1" applyAlignment="1" applyProtection="1">
      <alignment horizontal="right" vertical="center" wrapText="1"/>
      <protection locked="0"/>
    </xf>
    <xf numFmtId="0" fontId="3" fillId="0" borderId="13" xfId="5" applyFont="1" applyBorder="1" applyAlignment="1" applyProtection="1">
      <alignment vertical="center" wrapText="1"/>
      <protection locked="0"/>
    </xf>
    <xf numFmtId="0" fontId="3" fillId="0" borderId="13" xfId="5" applyFont="1" applyBorder="1" applyAlignment="1" applyProtection="1">
      <alignment horizontal="center" vertical="center" wrapText="1"/>
      <protection locked="0"/>
    </xf>
    <xf numFmtId="0" fontId="59" fillId="0" borderId="117" xfId="5" applyFont="1" applyBorder="1" applyAlignment="1" applyProtection="1">
      <alignment horizontal="center" vertical="center" wrapText="1"/>
      <protection locked="0"/>
    </xf>
    <xf numFmtId="2" fontId="3" fillId="0" borderId="117" xfId="5" applyNumberFormat="1" applyBorder="1" applyAlignment="1" applyProtection="1">
      <alignment horizontal="center" vertical="center" wrapText="1"/>
      <protection locked="0"/>
    </xf>
    <xf numFmtId="0" fontId="65" fillId="0" borderId="0" xfId="5" applyFont="1" applyBorder="1" applyAlignment="1" applyProtection="1">
      <alignment vertical="center"/>
      <protection locked="0"/>
    </xf>
    <xf numFmtId="2" fontId="59" fillId="0" borderId="117" xfId="5" applyNumberFormat="1" applyFont="1" applyBorder="1" applyAlignment="1" applyProtection="1">
      <alignment horizontal="center" vertical="center" wrapText="1"/>
      <protection locked="0"/>
    </xf>
    <xf numFmtId="0" fontId="12" fillId="23" borderId="66" xfId="0" applyFont="1" applyFill="1" applyBorder="1" applyAlignment="1" applyProtection="1">
      <alignment horizontal="center" vertical="center" wrapText="1"/>
      <protection locked="0"/>
    </xf>
    <xf numFmtId="0" fontId="12" fillId="23" borderId="48" xfId="5" applyFont="1" applyFill="1" applyBorder="1" applyAlignment="1" applyProtection="1">
      <alignment horizontal="center" vertical="center" wrapText="1"/>
    </xf>
    <xf numFmtId="0" fontId="13" fillId="0" borderId="0" xfId="5" applyFont="1" applyBorder="1" applyAlignment="1" applyProtection="1">
      <alignment horizontal="left" indent="2"/>
    </xf>
    <xf numFmtId="49" fontId="13" fillId="0" borderId="0" xfId="5" applyNumberFormat="1" applyFont="1" applyBorder="1" applyAlignment="1" applyProtection="1">
      <alignment horizontal="center" vertical="center"/>
    </xf>
    <xf numFmtId="0" fontId="13" fillId="0" borderId="0" xfId="5" applyFont="1" applyBorder="1" applyAlignment="1" applyProtection="1">
      <alignment horizontal="center" vertical="center"/>
    </xf>
    <xf numFmtId="0" fontId="17" fillId="0" borderId="0" xfId="5" applyFont="1" applyBorder="1" applyAlignment="1" applyProtection="1">
      <alignment horizontal="center" vertical="center"/>
    </xf>
    <xf numFmtId="0" fontId="41" fillId="0" borderId="0" xfId="5" applyFont="1" applyBorder="1" applyAlignment="1" applyProtection="1">
      <alignment horizontal="center" vertical="center"/>
    </xf>
    <xf numFmtId="0" fontId="16" fillId="0" borderId="0" xfId="5" applyFont="1" applyAlignment="1" applyProtection="1">
      <alignment horizontal="center" vertical="center"/>
      <protection locked="0"/>
    </xf>
    <xf numFmtId="0" fontId="15" fillId="0" borderId="0" xfId="5" applyFont="1" applyAlignment="1" applyProtection="1">
      <alignment horizontal="center" vertical="center" wrapText="1"/>
      <protection locked="0"/>
    </xf>
    <xf numFmtId="0" fontId="44" fillId="0" borderId="0" xfId="5" applyFont="1" applyBorder="1" applyAlignment="1" applyProtection="1">
      <alignment horizontal="center" vertical="center"/>
    </xf>
    <xf numFmtId="0" fontId="17" fillId="0" borderId="0" xfId="5" applyFont="1" applyBorder="1" applyAlignment="1" applyProtection="1">
      <alignment horizontal="center" vertical="center" wrapText="1"/>
    </xf>
    <xf numFmtId="0" fontId="48" fillId="0" borderId="30" xfId="0" applyFont="1" applyBorder="1" applyAlignment="1" applyProtection="1">
      <alignment horizontal="right" vertical="center" indent="4"/>
    </xf>
    <xf numFmtId="0" fontId="48" fillId="0" borderId="96" xfId="0" applyFont="1" applyBorder="1" applyAlignment="1" applyProtection="1">
      <alignment horizontal="right" vertical="center" indent="4"/>
    </xf>
    <xf numFmtId="0" fontId="5" fillId="0" borderId="48"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29"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97"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45" fillId="0" borderId="28" xfId="0" applyFont="1" applyBorder="1" applyAlignment="1" applyProtection="1">
      <alignment horizontal="center" vertical="center"/>
    </xf>
    <xf numFmtId="0" fontId="45" fillId="0" borderId="24" xfId="0" applyFont="1" applyBorder="1" applyAlignment="1" applyProtection="1">
      <alignment horizontal="center" vertical="center"/>
    </xf>
    <xf numFmtId="0" fontId="45" fillId="0" borderId="94" xfId="0" applyFont="1" applyBorder="1" applyAlignment="1" applyProtection="1">
      <alignment horizontal="center" vertical="center"/>
    </xf>
    <xf numFmtId="0" fontId="45" fillId="0" borderId="95" xfId="0" applyFont="1" applyBorder="1" applyAlignment="1" applyProtection="1">
      <alignment horizontal="center" vertical="center"/>
    </xf>
    <xf numFmtId="0" fontId="5" fillId="0" borderId="28" xfId="0" applyFont="1" applyBorder="1" applyAlignment="1" applyProtection="1">
      <alignment horizontal="left" vertical="center"/>
    </xf>
    <xf numFmtId="0" fontId="5" fillId="0" borderId="30" xfId="0" applyFont="1" applyBorder="1" applyAlignment="1" applyProtection="1">
      <alignment horizontal="left" vertical="center"/>
    </xf>
    <xf numFmtId="0" fontId="14" fillId="0" borderId="32" xfId="0" applyFont="1" applyBorder="1" applyAlignment="1" applyProtection="1">
      <alignment horizontal="center" vertical="center"/>
    </xf>
    <xf numFmtId="0" fontId="14" fillId="0" borderId="9" xfId="0" applyFont="1" applyBorder="1" applyAlignment="1" applyProtection="1">
      <alignment horizontal="center" vertical="center"/>
    </xf>
    <xf numFmtId="0" fontId="5" fillId="0" borderId="33" xfId="0" applyFont="1" applyBorder="1" applyAlignment="1" applyProtection="1">
      <alignment horizontal="left" vertical="center"/>
    </xf>
    <xf numFmtId="0" fontId="5" fillId="0" borderId="6" xfId="0" applyFont="1" applyBorder="1" applyAlignment="1" applyProtection="1">
      <alignment horizontal="left" vertical="center"/>
    </xf>
    <xf numFmtId="14" fontId="14" fillId="0" borderId="32" xfId="0" applyNumberFormat="1" applyFont="1" applyBorder="1" applyAlignment="1" applyProtection="1">
      <alignment horizontal="center" vertical="center"/>
    </xf>
    <xf numFmtId="0" fontId="5" fillId="0" borderId="29"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31" xfId="0" applyFont="1" applyBorder="1" applyAlignment="1" applyProtection="1">
      <alignment horizontal="left" vertical="center"/>
    </xf>
    <xf numFmtId="49" fontId="53" fillId="0" borderId="7" xfId="0" applyNumberFormat="1" applyFont="1" applyBorder="1" applyAlignment="1">
      <alignment horizontal="left" wrapText="1"/>
    </xf>
    <xf numFmtId="49" fontId="53" fillId="0" borderId="8" xfId="0" applyNumberFormat="1" applyFont="1" applyBorder="1" applyAlignment="1">
      <alignment horizontal="left" wrapText="1"/>
    </xf>
    <xf numFmtId="49" fontId="53" fillId="0" borderId="36" xfId="0" applyNumberFormat="1" applyFont="1" applyBorder="1" applyAlignment="1">
      <alignment horizontal="left" wrapText="1"/>
    </xf>
    <xf numFmtId="0" fontId="14" fillId="0" borderId="97" xfId="0" applyFont="1" applyBorder="1" applyAlignment="1" applyProtection="1">
      <alignment horizontal="center" vertical="center" wrapText="1"/>
    </xf>
    <xf numFmtId="0" fontId="0" fillId="0" borderId="98" xfId="0" applyBorder="1"/>
    <xf numFmtId="0" fontId="5" fillId="0" borderId="5" xfId="0" applyFont="1" applyBorder="1" applyAlignment="1" applyProtection="1">
      <alignment horizontal="left" vertical="center"/>
    </xf>
    <xf numFmtId="0" fontId="5" fillId="0" borderId="39" xfId="0" applyFont="1" applyBorder="1" applyAlignment="1" applyProtection="1">
      <alignment horizontal="left" vertical="center"/>
    </xf>
    <xf numFmtId="49" fontId="14" fillId="0" borderId="35" xfId="0" applyNumberFormat="1" applyFont="1" applyBorder="1" applyAlignment="1" applyProtection="1">
      <alignment horizontal="center" vertical="center"/>
    </xf>
    <xf numFmtId="0" fontId="14" fillId="0" borderId="34" xfId="0" applyFont="1" applyBorder="1" applyAlignment="1" applyProtection="1">
      <alignment horizontal="center" vertical="center"/>
    </xf>
    <xf numFmtId="49" fontId="14" fillId="0" borderId="113" xfId="0" applyNumberFormat="1" applyFont="1" applyBorder="1" applyAlignment="1" applyProtection="1">
      <alignment horizontal="center" vertical="center"/>
    </xf>
    <xf numFmtId="49" fontId="14" fillId="0" borderId="40" xfId="0" applyNumberFormat="1" applyFont="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47" fillId="3" borderId="25" xfId="0" applyFont="1" applyFill="1" applyBorder="1" applyAlignment="1" applyProtection="1">
      <alignment horizontal="center" vertical="center"/>
    </xf>
    <xf numFmtId="0" fontId="47" fillId="3" borderId="26" xfId="0" applyFont="1" applyFill="1" applyBorder="1" applyAlignment="1" applyProtection="1">
      <alignment horizontal="center" vertical="center"/>
    </xf>
    <xf numFmtId="0" fontId="47" fillId="3" borderId="27" xfId="0" applyFont="1" applyFill="1" applyBorder="1" applyAlignment="1" applyProtection="1">
      <alignment horizontal="center" vertical="center"/>
    </xf>
    <xf numFmtId="49" fontId="4" fillId="0" borderId="2" xfId="0" applyNumberFormat="1" applyFont="1" applyBorder="1" applyAlignment="1" applyProtection="1">
      <alignment horizontal="left" vertical="center" wrapText="1"/>
    </xf>
    <xf numFmtId="0" fontId="4" fillId="0" borderId="3" xfId="0" applyFont="1" applyBorder="1" applyAlignment="1" applyProtection="1">
      <alignment horizontal="left" vertical="center" wrapText="1"/>
    </xf>
    <xf numFmtId="4" fontId="5" fillId="3" borderId="21" xfId="0" applyNumberFormat="1" applyFont="1" applyFill="1" applyBorder="1" applyAlignment="1" applyProtection="1">
      <alignment horizontal="right" vertical="center"/>
    </xf>
    <xf numFmtId="4" fontId="5" fillId="3" borderId="23" xfId="0" applyNumberFormat="1" applyFont="1" applyFill="1" applyBorder="1" applyAlignment="1" applyProtection="1">
      <alignment horizontal="right" vertical="center"/>
    </xf>
    <xf numFmtId="4" fontId="5" fillId="3" borderId="22" xfId="0" applyNumberFormat="1" applyFont="1" applyFill="1" applyBorder="1" applyAlignment="1" applyProtection="1">
      <alignment horizontal="right" vertical="center"/>
    </xf>
    <xf numFmtId="44" fontId="4" fillId="2" borderId="82" xfId="0" applyNumberFormat="1" applyFont="1" applyFill="1" applyBorder="1" applyAlignment="1" applyProtection="1">
      <alignment horizontal="right" vertical="center"/>
    </xf>
    <xf numFmtId="44" fontId="4" fillId="2" borderId="99" xfId="0" applyNumberFormat="1" applyFont="1" applyFill="1" applyBorder="1" applyAlignment="1" applyProtection="1">
      <alignment horizontal="right" vertical="center"/>
    </xf>
    <xf numFmtId="0" fontId="39" fillId="2" borderId="66" xfId="99" applyFont="1" applyFill="1" applyBorder="1" applyAlignment="1" applyProtection="1">
      <alignment horizontal="center" vertical="center" wrapText="1"/>
    </xf>
    <xf numFmtId="0" fontId="39" fillId="2" borderId="49" xfId="99" applyFont="1" applyFill="1" applyBorder="1" applyAlignment="1" applyProtection="1">
      <alignment horizontal="center" vertical="center" wrapText="1"/>
    </xf>
    <xf numFmtId="0" fontId="10" fillId="0" borderId="66" xfId="99" applyFont="1" applyBorder="1" applyAlignment="1" applyProtection="1">
      <alignment horizontal="center" vertical="top" wrapText="1"/>
    </xf>
    <xf numFmtId="0" fontId="10" fillId="0" borderId="49" xfId="99" applyFont="1" applyBorder="1" applyAlignment="1" applyProtection="1">
      <alignment horizontal="center" vertical="top" wrapText="1"/>
    </xf>
    <xf numFmtId="49" fontId="5" fillId="3" borderId="21" xfId="0" applyNumberFormat="1" applyFont="1" applyFill="1" applyBorder="1" applyAlignment="1" applyProtection="1">
      <alignment horizontal="center" vertical="center" wrapText="1"/>
    </xf>
    <xf numFmtId="49" fontId="5" fillId="3" borderId="22" xfId="0" applyNumberFormat="1" applyFont="1" applyFill="1" applyBorder="1" applyAlignment="1" applyProtection="1">
      <alignment horizontal="center" vertical="center" wrapText="1"/>
    </xf>
    <xf numFmtId="49" fontId="5" fillId="3" borderId="23" xfId="0" applyNumberFormat="1" applyFont="1" applyFill="1" applyBorder="1" applyAlignment="1" applyProtection="1">
      <alignment horizontal="center" vertical="center" wrapText="1"/>
    </xf>
    <xf numFmtId="49" fontId="6" fillId="2" borderId="39" xfId="0" applyNumberFormat="1" applyFont="1" applyFill="1" applyBorder="1" applyAlignment="1" applyProtection="1">
      <alignment horizontal="left" vertical="center" wrapText="1"/>
      <protection locked="0"/>
    </xf>
    <xf numFmtId="0" fontId="0" fillId="0" borderId="36" xfId="0" applyBorder="1" applyProtection="1">
      <protection locked="0"/>
    </xf>
    <xf numFmtId="0" fontId="39" fillId="0" borderId="83" xfId="99" applyFont="1" applyBorder="1" applyAlignment="1" applyProtection="1">
      <alignment horizontal="center" vertical="top" wrapText="1"/>
    </xf>
    <xf numFmtId="0" fontId="39" fillId="0" borderId="82" xfId="99" applyFont="1" applyBorder="1" applyAlignment="1" applyProtection="1">
      <alignment horizontal="center" vertical="top" wrapText="1"/>
    </xf>
    <xf numFmtId="0" fontId="39" fillId="0" borderId="83" xfId="99" applyFont="1" applyBorder="1" applyAlignment="1" applyProtection="1">
      <alignment horizontal="center" vertical="center" wrapText="1"/>
    </xf>
    <xf numFmtId="0" fontId="39" fillId="0" borderId="82" xfId="99" applyFont="1" applyBorder="1" applyAlignment="1" applyProtection="1">
      <alignment horizontal="center" vertical="center" wrapText="1"/>
    </xf>
    <xf numFmtId="14" fontId="4" fillId="3" borderId="105" xfId="0" applyNumberFormat="1" applyFont="1" applyFill="1" applyBorder="1" applyAlignment="1" applyProtection="1">
      <alignment horizontal="center" vertical="center"/>
      <protection locked="0"/>
    </xf>
    <xf numFmtId="14" fontId="4" fillId="3" borderId="103" xfId="0" applyNumberFormat="1" applyFont="1" applyFill="1" applyBorder="1" applyAlignment="1" applyProtection="1">
      <alignment horizontal="center" vertical="center"/>
      <protection locked="0"/>
    </xf>
    <xf numFmtId="164" fontId="7" fillId="3" borderId="83" xfId="1" applyNumberFormat="1" applyFont="1" applyFill="1" applyBorder="1" applyAlignment="1" applyProtection="1">
      <alignment horizontal="center" vertical="center" wrapText="1"/>
    </xf>
    <xf numFmtId="164" fontId="7" fillId="3" borderId="66" xfId="1" applyNumberFormat="1" applyFont="1" applyFill="1" applyBorder="1" applyAlignment="1" applyProtection="1">
      <alignment horizontal="center" vertical="center" wrapText="1"/>
    </xf>
    <xf numFmtId="44" fontId="47" fillId="3" borderId="82" xfId="2" applyFont="1" applyFill="1" applyBorder="1" applyAlignment="1" applyProtection="1">
      <alignment horizontal="center" vertical="center"/>
    </xf>
    <xf numFmtId="44" fontId="47" fillId="3" borderId="99" xfId="2" applyFont="1" applyFill="1" applyBorder="1" applyAlignment="1" applyProtection="1">
      <alignment horizontal="center" vertical="center"/>
    </xf>
    <xf numFmtId="44" fontId="47" fillId="3" borderId="49" xfId="2" applyFont="1" applyFill="1" applyBorder="1" applyAlignment="1" applyProtection="1">
      <alignment horizontal="center" vertical="center"/>
    </xf>
    <xf numFmtId="44" fontId="47" fillId="3" borderId="67" xfId="2" applyFont="1" applyFill="1" applyBorder="1" applyAlignment="1" applyProtection="1">
      <alignment horizontal="center" vertical="center"/>
    </xf>
    <xf numFmtId="14" fontId="4" fillId="2" borderId="82" xfId="0" applyNumberFormat="1" applyFont="1" applyFill="1" applyBorder="1" applyAlignment="1" applyProtection="1">
      <alignment horizontal="center" vertical="center"/>
    </xf>
    <xf numFmtId="14" fontId="4" fillId="2" borderId="99" xfId="0" applyNumberFormat="1" applyFont="1" applyFill="1" applyBorder="1" applyAlignment="1" applyProtection="1">
      <alignment horizontal="center" vertical="center"/>
    </xf>
    <xf numFmtId="14" fontId="4" fillId="2" borderId="49" xfId="0" applyNumberFormat="1" applyFont="1" applyFill="1" applyBorder="1" applyAlignment="1" applyProtection="1">
      <alignment horizontal="center" vertical="center"/>
    </xf>
    <xf numFmtId="14" fontId="4" fillId="2" borderId="67" xfId="0" applyNumberFormat="1" applyFont="1" applyFill="1" applyBorder="1" applyAlignment="1" applyProtection="1">
      <alignment horizontal="center" vertical="center"/>
    </xf>
    <xf numFmtId="0" fontId="43" fillId="2" borderId="28" xfId="0" applyFont="1" applyFill="1" applyBorder="1" applyAlignment="1" applyProtection="1">
      <alignment horizontal="right" vertical="center"/>
    </xf>
    <xf numFmtId="0" fontId="43" fillId="2" borderId="94" xfId="0" applyFont="1" applyFill="1" applyBorder="1" applyAlignment="1" applyProtection="1">
      <alignment horizontal="right" vertical="center"/>
    </xf>
    <xf numFmtId="0" fontId="4" fillId="3" borderId="105" xfId="0" applyFont="1" applyFill="1" applyBorder="1" applyAlignment="1" applyProtection="1">
      <alignment horizontal="center" vertical="center"/>
      <protection locked="0"/>
    </xf>
    <xf numFmtId="0" fontId="4" fillId="3" borderId="103"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53" xfId="0" applyFont="1" applyFill="1" applyBorder="1" applyAlignment="1" applyProtection="1">
      <alignment horizontal="center" vertical="center"/>
      <protection locked="0"/>
    </xf>
    <xf numFmtId="14" fontId="4" fillId="2" borderId="47" xfId="0" applyNumberFormat="1" applyFont="1" applyFill="1" applyBorder="1" applyAlignment="1" applyProtection="1">
      <alignment horizontal="center" vertical="center"/>
      <protection locked="0"/>
    </xf>
    <xf numFmtId="14" fontId="4" fillId="2" borderId="53" xfId="0" applyNumberFormat="1" applyFont="1" applyFill="1" applyBorder="1" applyAlignment="1" applyProtection="1">
      <alignment horizontal="center" vertical="center"/>
      <protection locked="0"/>
    </xf>
    <xf numFmtId="0" fontId="11" fillId="2" borderId="24" xfId="0" applyFont="1" applyFill="1" applyBorder="1" applyAlignment="1" applyProtection="1">
      <alignment horizontal="right" vertical="center" indent="6"/>
    </xf>
    <xf numFmtId="0" fontId="0" fillId="0" borderId="24" xfId="0" applyBorder="1" applyAlignment="1" applyProtection="1">
      <alignment horizontal="right" indent="6"/>
    </xf>
    <xf numFmtId="0" fontId="0" fillId="0" borderId="30" xfId="0" applyBorder="1" applyAlignment="1" applyProtection="1">
      <alignment horizontal="right" indent="6"/>
    </xf>
    <xf numFmtId="0" fontId="0" fillId="0" borderId="95" xfId="0" applyBorder="1" applyAlignment="1" applyProtection="1">
      <alignment horizontal="right" indent="6"/>
    </xf>
    <xf numFmtId="0" fontId="0" fillId="0" borderId="96" xfId="0" applyBorder="1" applyAlignment="1" applyProtection="1">
      <alignment horizontal="right" indent="6"/>
    </xf>
    <xf numFmtId="0" fontId="0" fillId="0" borderId="47" xfId="0" applyBorder="1" applyProtection="1"/>
    <xf numFmtId="0" fontId="0" fillId="0" borderId="37" xfId="0" applyBorder="1" applyProtection="1"/>
    <xf numFmtId="0" fontId="0" fillId="0" borderId="49" xfId="0" applyBorder="1" applyProtection="1"/>
    <xf numFmtId="0" fontId="0" fillId="0" borderId="50" xfId="0" applyBorder="1" applyProtection="1"/>
    <xf numFmtId="0" fontId="42" fillId="0" borderId="29" xfId="0" applyFont="1" applyBorder="1" applyAlignment="1" applyProtection="1">
      <alignment horizontal="center" vertical="center" wrapText="1"/>
    </xf>
    <xf numFmtId="0" fontId="42" fillId="0" borderId="24"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42" fillId="0" borderId="97" xfId="0" applyFont="1" applyBorder="1" applyAlignment="1" applyProtection="1">
      <alignment horizontal="center" vertical="center" wrapText="1"/>
    </xf>
    <xf numFmtId="0" fontId="42" fillId="0" borderId="95" xfId="0" applyFont="1" applyBorder="1" applyAlignment="1" applyProtection="1">
      <alignment horizontal="center" vertical="center" wrapText="1"/>
    </xf>
    <xf numFmtId="0" fontId="42" fillId="0" borderId="98" xfId="0" applyFont="1" applyBorder="1" applyAlignment="1" applyProtection="1">
      <alignment horizontal="center" vertical="center" wrapText="1"/>
    </xf>
    <xf numFmtId="44" fontId="4" fillId="2" borderId="47" xfId="0" applyNumberFormat="1" applyFont="1" applyFill="1" applyBorder="1" applyAlignment="1" applyProtection="1">
      <alignment horizontal="right" vertical="center"/>
      <protection locked="0"/>
    </xf>
    <xf numFmtId="44" fontId="4" fillId="2" borderId="53" xfId="0" applyNumberFormat="1" applyFont="1" applyFill="1" applyBorder="1" applyAlignment="1" applyProtection="1">
      <alignment horizontal="right" vertical="center"/>
      <protection locked="0"/>
    </xf>
    <xf numFmtId="44" fontId="4" fillId="2" borderId="82" xfId="0" applyNumberFormat="1" applyFont="1" applyFill="1" applyBorder="1" applyAlignment="1" applyProtection="1">
      <alignment horizontal="right" vertical="center"/>
      <protection locked="0"/>
    </xf>
    <xf numFmtId="44" fontId="4" fillId="2" borderId="99" xfId="0" applyNumberFormat="1" applyFont="1" applyFill="1" applyBorder="1" applyAlignment="1" applyProtection="1">
      <alignment horizontal="right" vertical="center"/>
      <protection locked="0"/>
    </xf>
    <xf numFmtId="0" fontId="39" fillId="2" borderId="52" xfId="99" applyFont="1" applyFill="1" applyBorder="1" applyAlignment="1" applyProtection="1">
      <alignment horizontal="center" vertical="center" wrapText="1"/>
    </xf>
    <xf numFmtId="0" fontId="39" fillId="2" borderId="47" xfId="99" applyFont="1" applyFill="1" applyBorder="1" applyAlignment="1" applyProtection="1">
      <alignment horizontal="center" vertical="center" wrapText="1"/>
    </xf>
    <xf numFmtId="0" fontId="39" fillId="2" borderId="83" xfId="99" applyFont="1" applyFill="1" applyBorder="1" applyAlignment="1" applyProtection="1">
      <alignment horizontal="center" vertical="center"/>
    </xf>
    <xf numFmtId="0" fontId="39" fillId="2" borderId="82" xfId="99" applyFont="1" applyFill="1" applyBorder="1" applyAlignment="1" applyProtection="1">
      <alignment horizontal="center" vertical="center"/>
    </xf>
    <xf numFmtId="0" fontId="58" fillId="2"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44" fontId="4" fillId="2" borderId="49" xfId="0" applyNumberFormat="1" applyFont="1" applyFill="1" applyBorder="1" applyAlignment="1" applyProtection="1">
      <alignment horizontal="right" vertical="center"/>
    </xf>
    <xf numFmtId="44" fontId="4" fillId="2" borderId="67" xfId="0" applyNumberFormat="1" applyFont="1" applyFill="1" applyBorder="1" applyAlignment="1" applyProtection="1">
      <alignment horizontal="right" vertical="center"/>
    </xf>
    <xf numFmtId="0" fontId="10" fillId="3" borderId="68" xfId="0" applyFont="1" applyFill="1" applyBorder="1" applyAlignment="1" applyProtection="1">
      <alignment horizontal="center" vertical="center" wrapText="1"/>
    </xf>
    <xf numFmtId="0" fontId="40" fillId="3" borderId="70" xfId="0" applyFont="1" applyFill="1" applyBorder="1" applyProtection="1"/>
    <xf numFmtId="0" fontId="10" fillId="3" borderId="38" xfId="0" applyFont="1" applyFill="1" applyBorder="1" applyAlignment="1" applyProtection="1">
      <alignment horizontal="center" vertical="center" wrapText="1"/>
    </xf>
    <xf numFmtId="0" fontId="40" fillId="0" borderId="10" xfId="0" applyFont="1" applyBorder="1" applyProtection="1"/>
    <xf numFmtId="0" fontId="10" fillId="3" borderId="29" xfId="0" applyFont="1" applyFill="1" applyBorder="1" applyAlignment="1" applyProtection="1">
      <alignment horizontal="center" vertical="center" wrapText="1"/>
    </xf>
    <xf numFmtId="0" fontId="40" fillId="0" borderId="7" xfId="0" applyFont="1" applyBorder="1" applyProtection="1"/>
    <xf numFmtId="0" fontId="10" fillId="3" borderId="6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9"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0" fontId="10" fillId="3" borderId="53" xfId="0" applyFont="1" applyFill="1" applyBorder="1" applyAlignment="1" applyProtection="1">
      <alignment horizontal="center" vertical="center" wrapText="1"/>
    </xf>
    <xf numFmtId="0" fontId="39" fillId="2" borderId="83" xfId="99" applyFont="1" applyFill="1" applyBorder="1" applyAlignment="1" applyProtection="1">
      <alignment horizontal="center" vertical="center" wrapText="1"/>
    </xf>
    <xf numFmtId="0" fontId="39" fillId="2" borderId="82" xfId="99" applyFont="1" applyFill="1" applyBorder="1" applyAlignment="1" applyProtection="1">
      <alignment horizontal="center" vertical="center" wrapText="1"/>
    </xf>
    <xf numFmtId="0" fontId="39" fillId="0" borderId="52" xfId="99" applyFont="1" applyBorder="1" applyAlignment="1" applyProtection="1">
      <alignment horizontal="center" vertical="center" wrapText="1"/>
    </xf>
    <xf numFmtId="0" fontId="39" fillId="0" borderId="47" xfId="99" applyFont="1" applyBorder="1" applyAlignment="1" applyProtection="1">
      <alignment horizontal="center" vertical="center" wrapText="1"/>
    </xf>
    <xf numFmtId="4" fontId="81" fillId="0" borderId="0" xfId="5" applyNumberFormat="1" applyFont="1" applyAlignment="1">
      <alignment horizontal="center" vertical="center" wrapText="1"/>
    </xf>
    <xf numFmtId="4" fontId="81" fillId="0" borderId="101" xfId="5" applyNumberFormat="1" applyFont="1" applyBorder="1" applyAlignment="1">
      <alignment horizontal="center" vertical="center" wrapText="1"/>
    </xf>
    <xf numFmtId="0" fontId="65" fillId="0" borderId="13" xfId="5" applyFont="1" applyBorder="1" applyAlignment="1" applyProtection="1">
      <alignment horizontal="center" vertical="center" wrapText="1"/>
      <protection locked="0"/>
    </xf>
    <xf numFmtId="0" fontId="65" fillId="0" borderId="14" xfId="5" applyFont="1" applyBorder="1" applyAlignment="1" applyProtection="1">
      <alignment horizontal="center" vertical="center" wrapText="1"/>
      <protection locked="0"/>
    </xf>
    <xf numFmtId="0" fontId="65" fillId="0" borderId="15" xfId="5" applyFont="1" applyBorder="1" applyAlignment="1" applyProtection="1">
      <alignment horizontal="center" vertical="center" wrapText="1"/>
      <protection locked="0"/>
    </xf>
    <xf numFmtId="0" fontId="69" fillId="0" borderId="1" xfId="5" applyFont="1" applyBorder="1" applyAlignment="1" applyProtection="1">
      <alignment horizontal="center" vertical="center" wrapText="1"/>
      <protection locked="0"/>
    </xf>
    <xf numFmtId="0" fontId="65" fillId="0" borderId="1" xfId="5" applyFont="1" applyBorder="1" applyAlignment="1" applyProtection="1">
      <alignment horizontal="center" vertical="center" wrapText="1"/>
      <protection locked="0"/>
    </xf>
    <xf numFmtId="0" fontId="90" fillId="0" borderId="106" xfId="5" applyFont="1" applyBorder="1" applyAlignment="1" applyProtection="1">
      <alignment horizontal="center" vertical="center" wrapText="1"/>
      <protection locked="0"/>
    </xf>
    <xf numFmtId="0" fontId="90" fillId="0" borderId="105" xfId="5" applyFont="1" applyBorder="1" applyAlignment="1" applyProtection="1">
      <alignment horizontal="center" vertical="center" wrapText="1"/>
      <protection locked="0"/>
    </xf>
    <xf numFmtId="0" fontId="90" fillId="0" borderId="107" xfId="5" applyFont="1" applyBorder="1" applyAlignment="1" applyProtection="1">
      <alignment horizontal="center" vertical="center" wrapText="1"/>
      <protection locked="0"/>
    </xf>
    <xf numFmtId="2" fontId="3" fillId="0" borderId="128" xfId="5" applyNumberFormat="1" applyFont="1" applyBorder="1" applyAlignment="1" applyProtection="1">
      <alignment horizontal="right" vertical="center" wrapText="1"/>
      <protection locked="0"/>
    </xf>
    <xf numFmtId="2" fontId="3" fillId="0" borderId="10" xfId="5" applyNumberFormat="1" applyFont="1" applyBorder="1" applyAlignment="1" applyProtection="1">
      <alignment horizontal="right" vertical="center" wrapText="1"/>
      <protection locked="0"/>
    </xf>
    <xf numFmtId="0" fontId="3" fillId="0" borderId="13" xfId="5" applyFont="1" applyBorder="1" applyAlignment="1" applyProtection="1">
      <alignment horizontal="center" vertical="center" wrapText="1"/>
      <protection locked="0"/>
    </xf>
    <xf numFmtId="0" fontId="3" fillId="0" borderId="14" xfId="5" applyFont="1" applyBorder="1" applyAlignment="1" applyProtection="1">
      <alignment horizontal="center" vertical="center" wrapText="1"/>
      <protection locked="0"/>
    </xf>
    <xf numFmtId="0" fontId="59" fillId="0" borderId="1" xfId="5" applyFont="1" applyBorder="1" applyAlignment="1" applyProtection="1">
      <alignment horizontal="center" vertical="center" wrapText="1"/>
      <protection locked="0"/>
    </xf>
    <xf numFmtId="0" fontId="3" fillId="0" borderId="15" xfId="5" applyFont="1" applyBorder="1" applyAlignment="1" applyProtection="1">
      <alignment horizontal="center" vertical="center" wrapText="1"/>
      <protection locked="0"/>
    </xf>
    <xf numFmtId="0" fontId="3" fillId="0" borderId="128" xfId="5" applyFont="1" applyBorder="1" applyAlignment="1" applyProtection="1">
      <alignment horizontal="right" vertical="center" wrapText="1"/>
      <protection locked="0"/>
    </xf>
    <xf numFmtId="0" fontId="3" fillId="0" borderId="10" xfId="5" applyFont="1" applyBorder="1" applyAlignment="1" applyProtection="1">
      <alignment horizontal="right" vertical="center" wrapText="1"/>
      <protection locked="0"/>
    </xf>
    <xf numFmtId="0" fontId="3" fillId="0" borderId="128" xfId="5" applyFont="1" applyBorder="1" applyAlignment="1" applyProtection="1">
      <alignment horizontal="center" vertical="center" wrapText="1"/>
      <protection locked="0"/>
    </xf>
    <xf numFmtId="0" fontId="3" fillId="0" borderId="10" xfId="5" applyFont="1" applyBorder="1" applyAlignment="1" applyProtection="1">
      <alignment horizontal="center" vertical="center" wrapText="1"/>
      <protection locked="0"/>
    </xf>
    <xf numFmtId="0" fontId="59" fillId="0" borderId="0" xfId="5" applyFont="1" applyBorder="1" applyAlignment="1" applyProtection="1">
      <alignment horizontal="center" vertical="center" wrapText="1"/>
      <protection locked="0"/>
    </xf>
    <xf numFmtId="0" fontId="59" fillId="0" borderId="101" xfId="5" applyFont="1" applyBorder="1" applyAlignment="1" applyProtection="1">
      <alignment horizontal="center" vertical="center" wrapText="1"/>
      <protection locked="0"/>
    </xf>
    <xf numFmtId="0" fontId="3" fillId="0" borderId="8" xfId="5" applyFont="1" applyBorder="1" applyAlignment="1" applyProtection="1">
      <alignment horizontal="center" vertical="center"/>
      <protection locked="0"/>
    </xf>
    <xf numFmtId="0" fontId="3" fillId="0" borderId="0" xfId="5" applyFont="1" applyBorder="1" applyAlignment="1" applyProtection="1">
      <alignment horizontal="center" vertical="center" wrapText="1"/>
      <protection locked="0"/>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87" fillId="0" borderId="106" xfId="5" applyFont="1" applyBorder="1" applyAlignment="1" applyProtection="1">
      <alignment horizontal="center" vertical="center" wrapText="1"/>
      <protection locked="0"/>
    </xf>
    <xf numFmtId="0" fontId="87" fillId="0" borderId="107" xfId="5" applyFont="1" applyBorder="1" applyAlignment="1" applyProtection="1">
      <alignment horizontal="center" vertical="center" wrapText="1"/>
      <protection locked="0"/>
    </xf>
    <xf numFmtId="2" fontId="3" fillId="0" borderId="128" xfId="5" applyNumberFormat="1" applyBorder="1" applyAlignment="1" applyProtection="1">
      <alignment horizontal="right" vertical="center"/>
      <protection locked="0"/>
    </xf>
    <xf numFmtId="2" fontId="3" fillId="0" borderId="10" xfId="5" applyNumberFormat="1" applyBorder="1" applyAlignment="1" applyProtection="1">
      <alignment horizontal="right" vertical="center"/>
      <protection locked="0"/>
    </xf>
    <xf numFmtId="4" fontId="3" fillId="0" borderId="128" xfId="5" applyNumberFormat="1" applyBorder="1" applyAlignment="1" applyProtection="1">
      <alignment horizontal="right" vertical="center" wrapText="1"/>
      <protection locked="0"/>
    </xf>
    <xf numFmtId="4" fontId="3" fillId="0" borderId="10" xfId="5" applyNumberFormat="1" applyBorder="1" applyAlignment="1" applyProtection="1">
      <alignment horizontal="right" vertical="center" wrapText="1"/>
      <protection locked="0"/>
    </xf>
    <xf numFmtId="2" fontId="3" fillId="0" borderId="128" xfId="5" applyNumberFormat="1" applyBorder="1" applyAlignment="1" applyProtection="1">
      <alignment horizontal="center" vertical="center" wrapText="1"/>
      <protection locked="0"/>
    </xf>
    <xf numFmtId="2" fontId="3" fillId="0" borderId="10" xfId="5" applyNumberFormat="1" applyBorder="1" applyAlignment="1" applyProtection="1">
      <alignment horizontal="center" vertical="center" wrapText="1"/>
      <protection locked="0"/>
    </xf>
    <xf numFmtId="0" fontId="49" fillId="3" borderId="20" xfId="0" applyFont="1" applyFill="1" applyBorder="1" applyAlignment="1">
      <alignment horizontal="center" vertical="center" wrapText="1"/>
    </xf>
    <xf numFmtId="0" fontId="49" fillId="3" borderId="47" xfId="0" applyFont="1" applyFill="1" applyBorder="1" applyAlignment="1">
      <alignment horizontal="center" vertical="center" wrapText="1"/>
    </xf>
    <xf numFmtId="0" fontId="49" fillId="3" borderId="37" xfId="0" applyFont="1" applyFill="1" applyBorder="1" applyAlignment="1">
      <alignment horizontal="center" vertical="center" wrapText="1"/>
    </xf>
    <xf numFmtId="2" fontId="49" fillId="0" borderId="10" xfId="5" applyNumberFormat="1" applyFont="1" applyBorder="1" applyAlignment="1" applyProtection="1">
      <alignment horizontal="center" vertical="center" wrapText="1"/>
      <protection locked="0"/>
    </xf>
    <xf numFmtId="0" fontId="49" fillId="0" borderId="10" xfId="5" applyFont="1" applyBorder="1" applyAlignment="1" applyProtection="1">
      <alignment horizontal="center" vertical="center" wrapText="1"/>
      <protection locked="0"/>
    </xf>
    <xf numFmtId="2" fontId="3" fillId="0" borderId="13" xfId="5" applyNumberFormat="1" applyBorder="1" applyAlignment="1" applyProtection="1">
      <alignment horizontal="center" vertical="center" wrapText="1"/>
      <protection locked="0"/>
    </xf>
    <xf numFmtId="0" fontId="3" fillId="0" borderId="13" xfId="5" applyBorder="1" applyAlignment="1" applyProtection="1">
      <alignment horizontal="center" vertical="center" wrapText="1"/>
      <protection locked="0"/>
    </xf>
    <xf numFmtId="2" fontId="3" fillId="0" borderId="16" xfId="5" applyNumberFormat="1" applyBorder="1" applyAlignment="1" applyProtection="1">
      <alignment horizontal="center" vertical="center"/>
      <protection locked="0"/>
    </xf>
    <xf numFmtId="2" fontId="3" fillId="0" borderId="14" xfId="5" applyNumberFormat="1" applyBorder="1" applyAlignment="1" applyProtection="1">
      <alignment horizontal="center" vertical="center" wrapText="1"/>
      <protection locked="0"/>
    </xf>
    <xf numFmtId="0" fontId="3" fillId="0" borderId="14" xfId="5" applyBorder="1" applyAlignment="1" applyProtection="1">
      <alignment horizontal="center" vertical="center" wrapText="1"/>
      <protection locked="0"/>
    </xf>
    <xf numFmtId="0" fontId="3" fillId="0" borderId="44" xfId="5" applyBorder="1" applyAlignment="1" applyProtection="1">
      <alignment horizontal="center" vertical="center" wrapText="1"/>
      <protection locked="0"/>
    </xf>
    <xf numFmtId="0" fontId="3" fillId="0" borderId="124" xfId="5" applyBorder="1" applyAlignment="1" applyProtection="1">
      <alignment horizontal="center" vertical="center" wrapText="1"/>
      <protection locked="0"/>
    </xf>
    <xf numFmtId="2" fontId="3" fillId="0" borderId="44" xfId="5" applyNumberFormat="1" applyBorder="1" applyAlignment="1" applyProtection="1">
      <alignment horizontal="center" vertical="center" wrapText="1"/>
      <protection locked="0"/>
    </xf>
    <xf numFmtId="2" fontId="3" fillId="0" borderId="124" xfId="5" applyNumberFormat="1" applyBorder="1" applyAlignment="1" applyProtection="1">
      <alignment horizontal="center" vertical="center" wrapText="1"/>
      <protection locked="0"/>
    </xf>
    <xf numFmtId="0" fontId="88" fillId="0" borderId="0" xfId="5" applyFont="1" applyBorder="1" applyAlignment="1" applyProtection="1">
      <alignment horizontal="center" vertical="center" wrapText="1"/>
      <protection locked="0"/>
    </xf>
    <xf numFmtId="0" fontId="88" fillId="0" borderId="101" xfId="5" applyFont="1" applyBorder="1" applyAlignment="1" applyProtection="1">
      <alignment horizontal="center" vertical="center" wrapText="1"/>
      <protection locked="0"/>
    </xf>
    <xf numFmtId="4" fontId="0" fillId="0" borderId="48" xfId="1" applyNumberFormat="1" applyFont="1" applyBorder="1" applyAlignment="1">
      <alignment horizontal="center" vertical="center"/>
    </xf>
    <xf numFmtId="4" fontId="0" fillId="0" borderId="67" xfId="1" applyNumberFormat="1" applyFont="1" applyBorder="1" applyAlignment="1">
      <alignment horizontal="center" vertical="center"/>
    </xf>
    <xf numFmtId="0" fontId="9" fillId="22" borderId="48" xfId="0" applyFont="1" applyFill="1" applyBorder="1" applyAlignment="1">
      <alignment horizontal="left" vertical="center" wrapText="1"/>
    </xf>
    <xf numFmtId="0" fontId="9" fillId="22" borderId="49" xfId="0" applyFont="1" applyFill="1" applyBorder="1" applyAlignment="1">
      <alignment horizontal="left" vertical="center" wrapText="1"/>
    </xf>
    <xf numFmtId="0" fontId="9" fillId="22" borderId="50" xfId="0" applyFont="1" applyFill="1" applyBorder="1" applyAlignment="1">
      <alignment horizontal="left" vertical="center" wrapText="1"/>
    </xf>
    <xf numFmtId="0" fontId="49" fillId="0" borderId="106" xfId="5" applyFont="1" applyBorder="1" applyAlignment="1" applyProtection="1">
      <alignment horizontal="center" vertical="center" wrapText="1"/>
      <protection locked="0"/>
    </xf>
    <xf numFmtId="0" fontId="49" fillId="0" borderId="105" xfId="5" applyFont="1" applyBorder="1" applyAlignment="1" applyProtection="1">
      <alignment horizontal="center" vertical="center" wrapText="1"/>
      <protection locked="0"/>
    </xf>
    <xf numFmtId="4" fontId="0" fillId="0" borderId="106" xfId="1" applyNumberFormat="1" applyFont="1" applyBorder="1" applyAlignment="1">
      <alignment horizontal="center" vertical="center"/>
    </xf>
    <xf numFmtId="4" fontId="0" fillId="0" borderId="103" xfId="1" applyNumberFormat="1" applyFont="1" applyBorder="1" applyAlignment="1">
      <alignment horizontal="center" vertical="center"/>
    </xf>
    <xf numFmtId="0" fontId="0" fillId="0" borderId="6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3" fontId="0" fillId="0" borderId="48" xfId="1" applyNumberFormat="1" applyFont="1" applyBorder="1" applyAlignment="1">
      <alignment horizontal="center" vertical="center"/>
    </xf>
    <xf numFmtId="3" fontId="0" fillId="0" borderId="67" xfId="1" applyNumberFormat="1" applyFont="1" applyBorder="1" applyAlignment="1">
      <alignment horizontal="center" vertical="center"/>
    </xf>
    <xf numFmtId="0" fontId="0" fillId="0" borderId="83" xfId="0" applyBorder="1" applyAlignment="1">
      <alignment horizontal="center" vertical="center"/>
    </xf>
    <xf numFmtId="0" fontId="0" fillId="0" borderId="105" xfId="0" applyBorder="1" applyAlignment="1">
      <alignment horizontal="center" vertical="center"/>
    </xf>
    <xf numFmtId="0" fontId="0" fillId="0" borderId="107" xfId="0" applyBorder="1" applyAlignment="1">
      <alignment horizontal="center" vertical="center"/>
    </xf>
    <xf numFmtId="4" fontId="0" fillId="0" borderId="20" xfId="1" applyNumberFormat="1" applyFont="1" applyBorder="1" applyAlignment="1" applyProtection="1">
      <alignment horizontal="center" vertical="center"/>
      <protection locked="0"/>
    </xf>
    <xf numFmtId="4" fontId="0" fillId="0" borderId="53" xfId="1" applyNumberFormat="1" applyFont="1" applyBorder="1" applyAlignment="1" applyProtection="1">
      <alignment horizontal="center" vertical="center"/>
      <protection locked="0"/>
    </xf>
    <xf numFmtId="0" fontId="59" fillId="0" borderId="106" xfId="5" applyFont="1" applyBorder="1" applyAlignment="1" applyProtection="1">
      <alignment horizontal="center" vertical="center" wrapText="1"/>
      <protection locked="0"/>
    </xf>
    <xf numFmtId="0" fontId="59" fillId="0" borderId="105" xfId="5" applyFont="1" applyBorder="1" applyAlignment="1" applyProtection="1">
      <alignment horizontal="center" vertical="center" wrapText="1"/>
      <protection locked="0"/>
    </xf>
    <xf numFmtId="0" fontId="59" fillId="0" borderId="107" xfId="5" applyFont="1" applyBorder="1" applyAlignment="1" applyProtection="1">
      <alignment horizontal="center" vertical="center" wrapText="1"/>
      <protection locked="0"/>
    </xf>
    <xf numFmtId="2" fontId="49" fillId="0" borderId="0" xfId="5" applyNumberFormat="1" applyFont="1" applyBorder="1" applyAlignment="1" applyProtection="1">
      <alignment horizontal="center" vertical="center" wrapText="1"/>
      <protection locked="0"/>
    </xf>
    <xf numFmtId="0" fontId="3" fillId="0" borderId="128" xfId="5" applyBorder="1" applyAlignment="1" applyProtection="1">
      <alignment horizontal="center" vertical="center" wrapText="1"/>
      <protection locked="0"/>
    </xf>
    <xf numFmtId="0" fontId="3" fillId="0" borderId="10" xfId="5" applyBorder="1" applyAlignment="1" applyProtection="1">
      <alignment horizontal="center" vertical="center" wrapText="1"/>
      <protection locked="0"/>
    </xf>
    <xf numFmtId="2" fontId="3" fillId="0" borderId="136" xfId="5" applyNumberFormat="1" applyBorder="1" applyAlignment="1" applyProtection="1">
      <alignment horizontal="center" vertical="center" wrapText="1"/>
      <protection locked="0"/>
    </xf>
    <xf numFmtId="2" fontId="3" fillId="0" borderId="137" xfId="5" applyNumberFormat="1" applyBorder="1" applyAlignment="1" applyProtection="1">
      <alignment horizontal="center" vertical="center" wrapText="1"/>
      <protection locked="0"/>
    </xf>
    <xf numFmtId="2" fontId="3" fillId="0" borderId="7" xfId="5" applyNumberFormat="1" applyBorder="1" applyAlignment="1" applyProtection="1">
      <alignment horizontal="center" vertical="center" wrapText="1"/>
      <protection locked="0"/>
    </xf>
    <xf numFmtId="2" fontId="3" fillId="0" borderId="9" xfId="5" applyNumberFormat="1" applyBorder="1" applyAlignment="1" applyProtection="1">
      <alignment horizontal="center" vertical="center" wrapText="1"/>
      <protection locked="0"/>
    </xf>
    <xf numFmtId="2" fontId="3" fillId="0" borderId="136" xfId="5" applyNumberFormat="1" applyBorder="1" applyAlignment="1" applyProtection="1">
      <alignment horizontal="center" vertical="center"/>
      <protection locked="0"/>
    </xf>
    <xf numFmtId="2" fontId="3" fillId="0" borderId="137" xfId="5" applyNumberFormat="1" applyBorder="1" applyAlignment="1" applyProtection="1">
      <alignment horizontal="center" vertical="center"/>
      <protection locked="0"/>
    </xf>
    <xf numFmtId="2" fontId="3" fillId="0" borderId="7" xfId="5" applyNumberFormat="1" applyBorder="1" applyAlignment="1" applyProtection="1">
      <alignment horizontal="center" vertical="center"/>
      <protection locked="0"/>
    </xf>
    <xf numFmtId="2" fontId="3" fillId="0" borderId="9" xfId="5" applyNumberFormat="1" applyBorder="1" applyAlignment="1" applyProtection="1">
      <alignment horizontal="center" vertical="center"/>
      <protection locked="0"/>
    </xf>
    <xf numFmtId="0" fontId="65" fillId="0" borderId="106" xfId="5" applyFont="1" applyBorder="1" applyAlignment="1" applyProtection="1">
      <alignment horizontal="center" vertical="center" wrapText="1"/>
      <protection locked="0"/>
    </xf>
    <xf numFmtId="0" fontId="65" fillId="0" borderId="105" xfId="5" applyFont="1" applyBorder="1" applyAlignment="1" applyProtection="1">
      <alignment horizontal="center" vertical="center" wrapText="1"/>
      <protection locked="0"/>
    </xf>
    <xf numFmtId="0" fontId="65" fillId="0" borderId="107" xfId="5" applyFont="1" applyBorder="1" applyAlignment="1" applyProtection="1">
      <alignment horizontal="center" vertical="center" wrapText="1"/>
      <protection locked="0"/>
    </xf>
    <xf numFmtId="0" fontId="65" fillId="0" borderId="7" xfId="5" applyFont="1" applyBorder="1" applyAlignment="1" applyProtection="1">
      <alignment horizontal="center" vertical="center" wrapText="1"/>
      <protection locked="0"/>
    </xf>
    <xf numFmtId="0" fontId="65" fillId="0" borderId="8" xfId="5" applyFont="1" applyBorder="1" applyAlignment="1" applyProtection="1">
      <alignment horizontal="center" vertical="center" wrapText="1"/>
      <protection locked="0"/>
    </xf>
    <xf numFmtId="0" fontId="65" fillId="0" borderId="9" xfId="5" applyFont="1" applyBorder="1" applyAlignment="1" applyProtection="1">
      <alignment horizontal="center" vertical="center" wrapText="1"/>
      <protection locked="0"/>
    </xf>
    <xf numFmtId="164" fontId="49" fillId="3" borderId="20" xfId="1" applyNumberFormat="1" applyFont="1" applyFill="1" applyBorder="1" applyAlignment="1">
      <alignment horizontal="center" vertical="center" wrapText="1"/>
    </xf>
    <xf numFmtId="164" fontId="49" fillId="3" borderId="53" xfId="1" applyNumberFormat="1" applyFont="1" applyFill="1" applyBorder="1" applyAlignment="1">
      <alignment horizontal="center" vertical="center" wrapText="1"/>
    </xf>
    <xf numFmtId="4" fontId="51" fillId="3" borderId="48" xfId="5" applyNumberFormat="1" applyFont="1" applyFill="1" applyBorder="1" applyAlignment="1" applyProtection="1">
      <alignment horizontal="center" vertical="center" wrapText="1"/>
    </xf>
    <xf numFmtId="4" fontId="0" fillId="0" borderId="67" xfId="0" applyNumberFormat="1" applyBorder="1"/>
    <xf numFmtId="0" fontId="65" fillId="0" borderId="0" xfId="5" applyFont="1" applyBorder="1" applyAlignment="1" applyProtection="1">
      <alignment horizontal="center" vertical="center"/>
      <protection locked="0"/>
    </xf>
    <xf numFmtId="0" fontId="49" fillId="0" borderId="1" xfId="5" applyFont="1" applyBorder="1" applyAlignment="1" applyProtection="1">
      <alignment horizontal="center" vertical="top" wrapText="1"/>
      <protection locked="0"/>
    </xf>
    <xf numFmtId="0" fontId="9" fillId="0" borderId="0" xfId="5" applyFont="1" applyAlignment="1" applyProtection="1">
      <alignment horizontal="center" vertical="center" wrapText="1"/>
      <protection locked="0"/>
    </xf>
    <xf numFmtId="0" fontId="49" fillId="0" borderId="0" xfId="5" applyFont="1" applyAlignment="1" applyProtection="1">
      <alignment horizontal="center" vertical="center" wrapText="1"/>
      <protection locked="0"/>
    </xf>
    <xf numFmtId="0" fontId="81" fillId="0" borderId="0" xfId="5" applyFont="1" applyBorder="1" applyAlignment="1" applyProtection="1">
      <alignment horizontal="center" vertical="center" wrapText="1"/>
      <protection locked="0"/>
    </xf>
    <xf numFmtId="0" fontId="81" fillId="0" borderId="101" xfId="5" applyFont="1" applyBorder="1" applyAlignment="1" applyProtection="1">
      <alignment horizontal="center" vertical="center" wrapText="1"/>
      <protection locked="0"/>
    </xf>
    <xf numFmtId="3" fontId="81" fillId="2" borderId="0" xfId="5" applyNumberFormat="1" applyFont="1" applyFill="1" applyAlignment="1" applyProtection="1">
      <alignment horizontal="center" vertical="center" wrapText="1"/>
      <protection locked="0"/>
    </xf>
    <xf numFmtId="3" fontId="81" fillId="2" borderId="101" xfId="5" applyNumberFormat="1" applyFont="1" applyFill="1" applyBorder="1" applyAlignment="1" applyProtection="1">
      <alignment horizontal="center" vertical="center" wrapText="1"/>
      <protection locked="0"/>
    </xf>
    <xf numFmtId="4" fontId="88" fillId="0" borderId="0" xfId="5" applyNumberFormat="1" applyFont="1" applyAlignment="1">
      <alignment horizontal="center" vertical="center" wrapText="1"/>
    </xf>
    <xf numFmtId="4" fontId="88" fillId="0" borderId="101" xfId="5" applyNumberFormat="1" applyFont="1" applyBorder="1" applyAlignment="1">
      <alignment horizontal="center" vertical="center" wrapText="1"/>
    </xf>
    <xf numFmtId="4" fontId="88" fillId="0" borderId="95" xfId="5" applyNumberFormat="1" applyFont="1" applyBorder="1" applyAlignment="1">
      <alignment horizontal="center" vertical="center" wrapText="1"/>
    </xf>
    <xf numFmtId="4" fontId="88" fillId="0" borderId="98" xfId="5" applyNumberFormat="1" applyFont="1" applyBorder="1" applyAlignment="1">
      <alignment horizontal="center" vertical="center" wrapText="1"/>
    </xf>
    <xf numFmtId="0" fontId="81" fillId="2" borderId="0" xfId="5" applyFont="1" applyFill="1" applyBorder="1" applyAlignment="1" applyProtection="1">
      <alignment horizontal="center" vertical="center" wrapText="1"/>
    </xf>
    <xf numFmtId="0" fontId="81" fillId="2" borderId="101" xfId="5" applyFont="1" applyFill="1" applyBorder="1" applyAlignment="1" applyProtection="1">
      <alignment horizontal="center" vertical="center" wrapText="1"/>
    </xf>
    <xf numFmtId="3" fontId="59" fillId="0" borderId="100" xfId="5" applyNumberFormat="1" applyFont="1" applyBorder="1" applyAlignment="1" applyProtection="1">
      <alignment horizontal="center" vertical="center"/>
      <protection locked="0"/>
    </xf>
    <xf numFmtId="3" fontId="59" fillId="0" borderId="0" xfId="5" applyNumberFormat="1" applyFont="1" applyAlignment="1" applyProtection="1">
      <alignment horizontal="center" vertical="center"/>
      <protection locked="0"/>
    </xf>
    <xf numFmtId="3" fontId="59" fillId="0" borderId="101" xfId="5" applyNumberFormat="1" applyFont="1" applyBorder="1" applyAlignment="1" applyProtection="1">
      <alignment horizontal="center" vertical="center"/>
      <protection locked="0"/>
    </xf>
    <xf numFmtId="0" fontId="49" fillId="0" borderId="0" xfId="5" applyFont="1" applyBorder="1" applyAlignment="1" applyProtection="1">
      <alignment horizontal="center" vertical="center" wrapText="1"/>
      <protection locked="0"/>
    </xf>
    <xf numFmtId="0" fontId="6" fillId="22" borderId="48" xfId="0" applyFont="1" applyFill="1" applyBorder="1" applyAlignment="1">
      <alignment horizontal="left" vertical="center" wrapText="1"/>
    </xf>
    <xf numFmtId="0" fontId="6" fillId="22" borderId="49" xfId="0" applyFont="1" applyFill="1" applyBorder="1" applyAlignment="1">
      <alignment horizontal="left" vertical="center" wrapText="1"/>
    </xf>
    <xf numFmtId="0" fontId="6" fillId="22" borderId="50" xfId="0" applyFont="1" applyFill="1" applyBorder="1" applyAlignment="1">
      <alignment horizontal="left" vertical="center" wrapText="1"/>
    </xf>
    <xf numFmtId="0" fontId="59" fillId="0" borderId="116" xfId="5" applyFont="1" applyBorder="1" applyAlignment="1" applyProtection="1">
      <alignment horizontal="center" vertical="center" wrapText="1"/>
    </xf>
    <xf numFmtId="0" fontId="59" fillId="0" borderId="0" xfId="5" applyFont="1" applyAlignment="1" applyProtection="1">
      <alignment horizontal="center" vertical="center" wrapText="1"/>
    </xf>
    <xf numFmtId="0" fontId="59" fillId="0" borderId="101" xfId="5" applyFont="1" applyBorder="1" applyAlignment="1" applyProtection="1">
      <alignment horizontal="center" vertical="center" wrapText="1"/>
    </xf>
    <xf numFmtId="0" fontId="65" fillId="0" borderId="101" xfId="5" applyFont="1" applyBorder="1" applyAlignment="1" applyProtection="1">
      <alignment horizontal="center" vertical="center"/>
      <protection locked="0"/>
    </xf>
    <xf numFmtId="181" fontId="59" fillId="0" borderId="1" xfId="5" applyNumberFormat="1" applyFont="1" applyBorder="1" applyAlignment="1" applyProtection="1">
      <alignment horizontal="center" vertical="center" wrapText="1"/>
      <protection locked="0"/>
    </xf>
    <xf numFmtId="0" fontId="63" fillId="0" borderId="0" xfId="5" applyFont="1" applyBorder="1" applyAlignment="1" applyProtection="1">
      <alignment horizontal="right" vertical="center" wrapText="1"/>
      <protection locked="0"/>
    </xf>
    <xf numFmtId="2" fontId="12" fillId="0" borderId="0" xfId="5" applyNumberFormat="1" applyFont="1" applyAlignment="1" applyProtection="1">
      <alignment horizontal="center" vertical="center"/>
      <protection locked="0"/>
    </xf>
    <xf numFmtId="0" fontId="12" fillId="0" borderId="0" xfId="5" applyFont="1" applyAlignment="1" applyProtection="1">
      <alignment horizontal="center" vertical="center"/>
      <protection locked="0"/>
    </xf>
    <xf numFmtId="2" fontId="3" fillId="0" borderId="14" xfId="5" applyNumberFormat="1" applyBorder="1" applyAlignment="1" applyProtection="1">
      <alignment horizontal="center" vertical="center"/>
      <protection locked="0"/>
    </xf>
    <xf numFmtId="181" fontId="59" fillId="0" borderId="14" xfId="5" applyNumberFormat="1" applyFont="1" applyBorder="1" applyAlignment="1" applyProtection="1">
      <alignment horizontal="center" vertical="center" wrapText="1"/>
      <protection locked="0"/>
    </xf>
    <xf numFmtId="0" fontId="81" fillId="0" borderId="0" xfId="5" applyFont="1" applyAlignment="1" applyProtection="1">
      <alignment horizontal="center" vertical="center" wrapText="1"/>
      <protection locked="0"/>
    </xf>
    <xf numFmtId="0" fontId="59" fillId="0" borderId="0" xfId="5" applyFont="1" applyBorder="1" applyAlignment="1" applyProtection="1">
      <alignment horizontal="right" vertical="center" wrapText="1"/>
      <protection locked="0"/>
    </xf>
    <xf numFmtId="0" fontId="59" fillId="0" borderId="0" xfId="5" applyFont="1" applyAlignment="1" applyProtection="1">
      <alignment horizontal="right" vertical="center" wrapText="1"/>
      <protection locked="0"/>
    </xf>
    <xf numFmtId="0" fontId="63" fillId="0" borderId="95" xfId="5" applyFont="1" applyBorder="1" applyAlignment="1" applyProtection="1">
      <alignment horizontal="right" vertical="center" wrapText="1"/>
      <protection locked="0"/>
    </xf>
    <xf numFmtId="4" fontId="12" fillId="0" borderId="0" xfId="5" applyNumberFormat="1" applyFont="1" applyAlignment="1" applyProtection="1">
      <alignment horizontal="center" vertical="center"/>
      <protection locked="0"/>
    </xf>
    <xf numFmtId="181" fontId="59" fillId="0" borderId="15" xfId="5" applyNumberFormat="1" applyFont="1" applyBorder="1" applyAlignment="1" applyProtection="1">
      <alignment horizontal="center" vertical="center" wrapText="1"/>
      <protection locked="0"/>
    </xf>
    <xf numFmtId="0" fontId="3" fillId="0" borderId="100" xfId="5" applyFont="1" applyBorder="1" applyAlignment="1" applyProtection="1">
      <alignment horizontal="center" vertical="center" wrapText="1"/>
      <protection locked="0"/>
    </xf>
    <xf numFmtId="0" fontId="85" fillId="0" borderId="0" xfId="5" applyFont="1" applyAlignment="1" applyProtection="1">
      <alignment horizontal="center" vertical="center" wrapText="1"/>
      <protection locked="0"/>
    </xf>
    <xf numFmtId="0" fontId="65" fillId="0" borderId="0" xfId="5" applyFont="1" applyBorder="1" applyAlignment="1" applyProtection="1">
      <alignment horizontal="center" vertical="center" wrapText="1"/>
      <protection locked="0"/>
    </xf>
    <xf numFmtId="0" fontId="49" fillId="3" borderId="8" xfId="0" applyFont="1" applyFill="1" applyBorder="1" applyAlignment="1">
      <alignment horizontal="center" vertical="center" wrapText="1"/>
    </xf>
    <xf numFmtId="0" fontId="0" fillId="0" borderId="95" xfId="0" applyBorder="1" applyAlignment="1">
      <alignment horizontal="center" vertical="center"/>
    </xf>
    <xf numFmtId="0" fontId="3" fillId="0" borderId="116" xfId="5" applyFont="1" applyBorder="1" applyAlignment="1">
      <alignment horizontal="center" vertical="center" wrapText="1"/>
    </xf>
    <xf numFmtId="0" fontId="3" fillId="0" borderId="117" xfId="5" applyFont="1" applyBorder="1" applyAlignment="1">
      <alignment horizontal="center" vertical="center" wrapText="1"/>
    </xf>
    <xf numFmtId="0" fontId="3" fillId="0" borderId="7" xfId="5" applyFont="1" applyBorder="1" applyAlignment="1">
      <alignment horizontal="center" vertical="center" wrapText="1"/>
    </xf>
    <xf numFmtId="0" fontId="3" fillId="0" borderId="9" xfId="5" applyFont="1" applyBorder="1" applyAlignment="1">
      <alignment horizontal="center" vertical="center" wrapText="1"/>
    </xf>
    <xf numFmtId="4" fontId="0" fillId="0" borderId="95" xfId="1" applyNumberFormat="1" applyFont="1" applyBorder="1" applyAlignment="1">
      <alignment horizontal="center" vertical="center"/>
    </xf>
    <xf numFmtId="14" fontId="12" fillId="0" borderId="0" xfId="5" applyNumberFormat="1" applyFont="1" applyBorder="1" applyAlignment="1">
      <alignment horizontal="left" vertical="center" wrapText="1"/>
    </xf>
    <xf numFmtId="14" fontId="12" fillId="0" borderId="117" xfId="5" applyNumberFormat="1" applyFont="1" applyBorder="1" applyAlignment="1">
      <alignment horizontal="left" vertical="center" wrapText="1"/>
    </xf>
    <xf numFmtId="178" fontId="12" fillId="0" borderId="116" xfId="5" applyNumberFormat="1" applyFont="1" applyBorder="1" applyAlignment="1">
      <alignment horizontal="center" vertical="center" wrapText="1"/>
    </xf>
    <xf numFmtId="178" fontId="12" fillId="0" borderId="0" xfId="5" applyNumberFormat="1" applyFont="1" applyBorder="1" applyAlignment="1">
      <alignment horizontal="center" vertical="center" wrapText="1"/>
    </xf>
    <xf numFmtId="2" fontId="69" fillId="0" borderId="1" xfId="5" applyNumberFormat="1" applyFont="1" applyBorder="1" applyAlignment="1" applyProtection="1">
      <alignment horizontal="center" vertical="center"/>
      <protection locked="0"/>
    </xf>
    <xf numFmtId="0" fontId="69" fillId="0" borderId="1" xfId="5" applyFont="1" applyBorder="1" applyAlignment="1" applyProtection="1">
      <alignment horizontal="center" vertical="center"/>
      <protection locked="0"/>
    </xf>
    <xf numFmtId="2" fontId="3" fillId="0" borderId="13" xfId="5" applyNumberFormat="1" applyBorder="1" applyAlignment="1" applyProtection="1">
      <alignment horizontal="center" vertical="center"/>
      <protection locked="0"/>
    </xf>
    <xf numFmtId="181" fontId="59" fillId="0" borderId="13" xfId="5" applyNumberFormat="1" applyFont="1" applyBorder="1" applyAlignment="1" applyProtection="1">
      <alignment horizontal="center" vertical="center" wrapText="1"/>
      <protection locked="0"/>
    </xf>
    <xf numFmtId="0" fontId="70" fillId="0" borderId="120" xfId="5" applyFont="1" applyBorder="1" applyAlignment="1" applyProtection="1">
      <alignment horizontal="center" vertical="center" wrapText="1"/>
      <protection locked="0"/>
    </xf>
    <xf numFmtId="0" fontId="59" fillId="0" borderId="118" xfId="5" applyFont="1" applyBorder="1" applyAlignment="1" applyProtection="1">
      <alignment horizontal="center" vertical="center" wrapText="1"/>
      <protection locked="0"/>
    </xf>
    <xf numFmtId="0" fontId="59" fillId="0" borderId="114" xfId="5" applyFont="1" applyBorder="1" applyAlignment="1" applyProtection="1">
      <alignment horizontal="center" vertical="center" wrapText="1"/>
      <protection locked="0"/>
    </xf>
    <xf numFmtId="0" fontId="59" fillId="0" borderId="116" xfId="5" applyFont="1" applyBorder="1" applyAlignment="1" applyProtection="1">
      <alignment horizontal="center" vertical="center" wrapText="1"/>
      <protection locked="0"/>
    </xf>
    <xf numFmtId="0" fontId="59" fillId="0" borderId="7" xfId="5" applyFont="1" applyBorder="1" applyAlignment="1" applyProtection="1">
      <alignment horizontal="center" vertical="center" wrapText="1"/>
      <protection locked="0"/>
    </xf>
    <xf numFmtId="0" fontId="59" fillId="0" borderId="8" xfId="5" applyFont="1" applyBorder="1" applyAlignment="1" applyProtection="1">
      <alignment horizontal="center" vertical="center" wrapText="1"/>
      <protection locked="0"/>
    </xf>
    <xf numFmtId="0" fontId="59" fillId="0" borderId="36" xfId="5" applyFont="1" applyBorder="1" applyAlignment="1" applyProtection="1">
      <alignment horizontal="center" vertical="center" wrapText="1"/>
      <protection locked="0"/>
    </xf>
    <xf numFmtId="0" fontId="12" fillId="0" borderId="100" xfId="5" applyFont="1" applyBorder="1" applyAlignment="1" applyProtection="1">
      <alignment horizontal="left" vertical="top" wrapText="1"/>
      <protection locked="0"/>
    </xf>
    <xf numFmtId="0" fontId="12" fillId="0" borderId="0" xfId="5" applyFont="1" applyBorder="1" applyAlignment="1" applyProtection="1">
      <alignment horizontal="left" vertical="top" wrapText="1"/>
      <protection locked="0"/>
    </xf>
    <xf numFmtId="0" fontId="12" fillId="0" borderId="101" xfId="5" applyFont="1" applyBorder="1" applyAlignment="1" applyProtection="1">
      <alignment horizontal="left" vertical="top" wrapText="1"/>
      <protection locked="0"/>
    </xf>
    <xf numFmtId="0" fontId="9" fillId="0" borderId="7" xfId="5" applyFont="1" applyBorder="1" applyAlignment="1">
      <alignment horizontal="center" vertical="center" wrapText="1"/>
    </xf>
    <xf numFmtId="0" fontId="9" fillId="0" borderId="9" xfId="5" applyFont="1" applyBorder="1" applyAlignment="1">
      <alignment horizontal="center" vertical="center" wrapText="1"/>
    </xf>
    <xf numFmtId="0" fontId="60" fillId="0" borderId="110" xfId="5" applyFont="1" applyBorder="1" applyAlignment="1">
      <alignment horizontal="center" vertical="center" wrapText="1"/>
    </xf>
    <xf numFmtId="14" fontId="49" fillId="0" borderId="1" xfId="5" applyNumberFormat="1" applyFont="1" applyBorder="1" applyAlignment="1">
      <alignment horizontal="center" vertical="center" wrapText="1"/>
    </xf>
    <xf numFmtId="14" fontId="12" fillId="0" borderId="116" xfId="5" applyNumberFormat="1" applyFont="1" applyBorder="1" applyAlignment="1">
      <alignment horizontal="right" vertical="center" wrapText="1"/>
    </xf>
    <xf numFmtId="14" fontId="12" fillId="0" borderId="0" xfId="5" applyNumberFormat="1" applyFont="1" applyBorder="1" applyAlignment="1">
      <alignment horizontal="right" vertical="center" wrapText="1"/>
    </xf>
    <xf numFmtId="4" fontId="0" fillId="3" borderId="67" xfId="0" applyNumberFormat="1" applyFill="1" applyBorder="1"/>
    <xf numFmtId="0" fontId="12" fillId="0" borderId="100" xfId="5" applyFont="1" applyBorder="1" applyAlignment="1" applyProtection="1">
      <alignment horizontal="right" vertical="top" wrapText="1"/>
      <protection locked="0"/>
    </xf>
    <xf numFmtId="4" fontId="12" fillId="0" borderId="0" xfId="5" applyNumberFormat="1" applyFont="1" applyBorder="1" applyAlignment="1">
      <alignment horizontal="center" vertical="center"/>
    </xf>
    <xf numFmtId="4" fontId="12" fillId="0" borderId="101" xfId="5" applyNumberFormat="1" applyFont="1" applyBorder="1" applyAlignment="1">
      <alignment horizontal="center" vertical="center"/>
    </xf>
    <xf numFmtId="0" fontId="59" fillId="0" borderId="100" xfId="5" applyFont="1" applyBorder="1" applyAlignment="1" applyProtection="1">
      <alignment horizontal="center" vertical="center" wrapText="1"/>
      <protection locked="0"/>
    </xf>
    <xf numFmtId="4" fontId="51" fillId="3" borderId="67" xfId="5" applyNumberFormat="1" applyFont="1" applyFill="1" applyBorder="1" applyAlignment="1" applyProtection="1">
      <alignment horizontal="center" vertical="center" wrapText="1"/>
    </xf>
    <xf numFmtId="0" fontId="60" fillId="0" borderId="116" xfId="5" applyFont="1" applyBorder="1" applyAlignment="1">
      <alignment horizontal="center" vertical="center"/>
    </xf>
    <xf numFmtId="0" fontId="60" fillId="0" borderId="0" xfId="5" applyFont="1" applyBorder="1" applyAlignment="1">
      <alignment horizontal="center" vertical="center"/>
    </xf>
    <xf numFmtId="14" fontId="12" fillId="0" borderId="0" xfId="5" applyNumberFormat="1" applyFont="1" applyAlignment="1">
      <alignment horizontal="left" vertical="center" wrapText="1"/>
    </xf>
    <xf numFmtId="0" fontId="12" fillId="0" borderId="117" xfId="5" applyFont="1" applyBorder="1" applyAlignment="1">
      <alignment horizontal="left" vertical="center" wrapText="1"/>
    </xf>
    <xf numFmtId="180" fontId="59" fillId="0" borderId="0" xfId="5" applyNumberFormat="1" applyFont="1" applyBorder="1" applyAlignment="1" applyProtection="1">
      <alignment horizontal="center" vertical="center"/>
      <protection locked="0"/>
    </xf>
    <xf numFmtId="2" fontId="3" fillId="0" borderId="43" xfId="5" applyNumberFormat="1" applyBorder="1" applyAlignment="1" applyProtection="1">
      <alignment horizontal="center" vertical="center" wrapText="1"/>
      <protection locked="0"/>
    </xf>
    <xf numFmtId="2" fontId="3" fillId="0" borderId="135" xfId="5" applyNumberFormat="1" applyBorder="1" applyAlignment="1" applyProtection="1">
      <alignment horizontal="center" vertical="center" wrapText="1"/>
      <protection locked="0"/>
    </xf>
    <xf numFmtId="0" fontId="65" fillId="0" borderId="44" xfId="5" applyFont="1" applyBorder="1" applyAlignment="1" applyProtection="1">
      <alignment horizontal="center" vertical="center" wrapText="1"/>
      <protection locked="0"/>
    </xf>
    <xf numFmtId="0" fontId="65" fillId="0" borderId="124" xfId="5" applyFont="1" applyBorder="1" applyAlignment="1" applyProtection="1">
      <alignment horizontal="center" vertical="center" wrapText="1"/>
      <protection locked="0"/>
    </xf>
    <xf numFmtId="2" fontId="3" fillId="0" borderId="45" xfId="5" applyNumberFormat="1" applyBorder="1" applyAlignment="1" applyProtection="1">
      <alignment horizontal="center" vertical="center" wrapText="1"/>
      <protection locked="0"/>
    </xf>
    <xf numFmtId="2" fontId="3" fillId="0" borderId="126" xfId="5" applyNumberFormat="1" applyBorder="1" applyAlignment="1" applyProtection="1">
      <alignment horizontal="center" vertical="center" wrapText="1"/>
      <protection locked="0"/>
    </xf>
    <xf numFmtId="0" fontId="69" fillId="0" borderId="106" xfId="5" applyFont="1" applyBorder="1" applyAlignment="1" applyProtection="1">
      <alignment horizontal="center" vertical="center" wrapText="1"/>
      <protection locked="0"/>
    </xf>
    <xf numFmtId="0" fontId="69" fillId="0" borderId="105" xfId="5" applyFont="1" applyBorder="1" applyAlignment="1" applyProtection="1">
      <alignment horizontal="center" vertical="center" wrapText="1"/>
      <protection locked="0"/>
    </xf>
    <xf numFmtId="0" fontId="69" fillId="0" borderId="107" xfId="5" applyFont="1" applyBorder="1" applyAlignment="1" applyProtection="1">
      <alignment horizontal="center" vertical="center" wrapText="1"/>
      <protection locked="0"/>
    </xf>
    <xf numFmtId="2" fontId="59" fillId="0" borderId="106" xfId="5" applyNumberFormat="1" applyFont="1" applyBorder="1" applyAlignment="1" applyProtection="1">
      <alignment horizontal="center" vertical="center" wrapText="1"/>
      <protection locked="0"/>
    </xf>
    <xf numFmtId="2" fontId="59" fillId="0" borderId="107" xfId="5" applyNumberFormat="1" applyFont="1" applyBorder="1" applyAlignment="1" applyProtection="1">
      <alignment horizontal="center" vertical="center" wrapText="1"/>
      <protection locked="0"/>
    </xf>
    <xf numFmtId="0" fontId="65" fillId="0" borderId="43" xfId="5" applyFont="1" applyBorder="1" applyAlignment="1" applyProtection="1">
      <alignment horizontal="center" vertical="center"/>
      <protection locked="0"/>
    </xf>
    <xf numFmtId="0" fontId="65" fillId="0" borderId="135" xfId="5" applyFont="1" applyBorder="1" applyAlignment="1" applyProtection="1">
      <alignment horizontal="center" vertical="center"/>
      <protection locked="0"/>
    </xf>
    <xf numFmtId="4" fontId="3" fillId="0" borderId="14" xfId="5" applyNumberFormat="1" applyBorder="1" applyAlignment="1" applyProtection="1">
      <alignment horizontal="right" vertical="center" wrapText="1"/>
      <protection locked="0"/>
    </xf>
    <xf numFmtId="4" fontId="3" fillId="0" borderId="15" xfId="5" applyNumberFormat="1" applyBorder="1" applyAlignment="1" applyProtection="1">
      <alignment horizontal="right" vertical="center" wrapText="1"/>
      <protection locked="0"/>
    </xf>
    <xf numFmtId="2" fontId="3" fillId="0" borderId="1" xfId="5" applyNumberFormat="1" applyBorder="1" applyAlignment="1" applyProtection="1">
      <alignment horizontal="center" vertical="center" wrapText="1"/>
      <protection locked="0"/>
    </xf>
    <xf numFmtId="2" fontId="3" fillId="0" borderId="1" xfId="5" applyNumberFormat="1" applyFont="1" applyBorder="1" applyAlignment="1" applyProtection="1">
      <alignment horizontal="center" vertical="center"/>
      <protection locked="0"/>
    </xf>
    <xf numFmtId="0" fontId="12" fillId="0" borderId="1" xfId="5" applyFont="1" applyBorder="1" applyAlignment="1" applyProtection="1">
      <alignment horizontal="center" vertical="center" wrapText="1"/>
      <protection locked="0"/>
    </xf>
    <xf numFmtId="0" fontId="10" fillId="0" borderId="1" xfId="5" applyFont="1" applyBorder="1" applyAlignment="1" applyProtection="1">
      <alignment horizontal="center" vertical="center" wrapText="1"/>
      <protection locked="0"/>
    </xf>
    <xf numFmtId="4" fontId="10" fillId="0" borderId="1" xfId="5" applyNumberFormat="1" applyFont="1" applyBorder="1" applyAlignment="1" applyProtection="1">
      <alignment horizontal="center" vertical="center" wrapText="1"/>
      <protection locked="0"/>
    </xf>
    <xf numFmtId="3" fontId="0" fillId="0" borderId="20" xfId="1" applyNumberFormat="1" applyFont="1" applyBorder="1" applyAlignment="1" applyProtection="1">
      <alignment horizontal="center" vertical="center"/>
      <protection locked="0"/>
    </xf>
    <xf numFmtId="3" fontId="0" fillId="0" borderId="53" xfId="1" applyNumberFormat="1" applyFont="1" applyBorder="1" applyAlignment="1" applyProtection="1">
      <alignment horizontal="center" vertical="center"/>
      <protection locked="0"/>
    </xf>
    <xf numFmtId="2" fontId="81" fillId="0" borderId="0" xfId="5" applyNumberFormat="1" applyFont="1" applyBorder="1" applyAlignment="1" applyProtection="1">
      <alignment horizontal="center" vertical="center" wrapText="1"/>
      <protection locked="0"/>
    </xf>
    <xf numFmtId="2" fontId="81" fillId="0" borderId="101" xfId="5" applyNumberFormat="1" applyFont="1" applyBorder="1" applyAlignment="1" applyProtection="1">
      <alignment horizontal="center" vertical="center" wrapText="1"/>
      <protection locked="0"/>
    </xf>
    <xf numFmtId="0" fontId="59" fillId="0" borderId="24" xfId="5" applyFont="1" applyBorder="1" applyAlignment="1" applyProtection="1">
      <alignment horizontal="center" vertical="center" wrapText="1"/>
      <protection locked="0"/>
    </xf>
    <xf numFmtId="4" fontId="67" fillId="3" borderId="48" xfId="5" applyNumberFormat="1" applyFont="1" applyFill="1" applyBorder="1" applyAlignment="1" applyProtection="1">
      <alignment horizontal="center" vertical="center" wrapText="1"/>
    </xf>
    <xf numFmtId="4" fontId="1" fillId="0" borderId="67" xfId="0" applyNumberFormat="1" applyFont="1" applyBorder="1"/>
    <xf numFmtId="0" fontId="10" fillId="0" borderId="0" xfId="5" applyFont="1" applyAlignment="1" applyProtection="1">
      <alignment horizontal="center" vertical="center" wrapText="1"/>
      <protection locked="0"/>
    </xf>
    <xf numFmtId="177" fontId="12" fillId="0" borderId="51" xfId="5" applyNumberFormat="1" applyFont="1" applyBorder="1" applyAlignment="1">
      <alignment horizontal="center" vertical="center" wrapText="1"/>
    </xf>
    <xf numFmtId="177" fontId="12" fillId="0" borderId="121" xfId="5" applyNumberFormat="1" applyFont="1" applyBorder="1" applyAlignment="1">
      <alignment horizontal="center" vertical="center" wrapText="1"/>
    </xf>
    <xf numFmtId="4" fontId="64" fillId="3" borderId="48" xfId="5" applyNumberFormat="1" applyFont="1" applyFill="1" applyBorder="1" applyAlignment="1" applyProtection="1">
      <alignment horizontal="center" vertical="center" wrapText="1"/>
    </xf>
    <xf numFmtId="4" fontId="0" fillId="0" borderId="67" xfId="0" applyNumberFormat="1" applyFont="1" applyBorder="1"/>
    <xf numFmtId="177" fontId="12" fillId="0" borderId="45" xfId="5" applyNumberFormat="1" applyFont="1" applyBorder="1" applyAlignment="1">
      <alignment horizontal="center" vertical="center" wrapText="1"/>
    </xf>
    <xf numFmtId="177" fontId="12" fillId="0" borderId="125" xfId="5" applyNumberFormat="1" applyFont="1" applyBorder="1" applyAlignment="1">
      <alignment horizontal="center" vertical="center" wrapText="1"/>
    </xf>
    <xf numFmtId="2" fontId="12" fillId="0" borderId="125" xfId="5" applyNumberFormat="1" applyFont="1" applyBorder="1" applyAlignment="1">
      <alignment horizontal="center" vertical="center" wrapText="1"/>
    </xf>
    <xf numFmtId="2" fontId="12" fillId="0" borderId="126" xfId="5" applyNumberFormat="1" applyFont="1" applyBorder="1" applyAlignment="1">
      <alignment horizontal="center" vertical="center" wrapText="1"/>
    </xf>
    <xf numFmtId="2" fontId="65" fillId="0" borderId="0" xfId="5" applyNumberFormat="1" applyFont="1" applyBorder="1" applyAlignment="1" applyProtection="1">
      <alignment horizontal="center" vertical="center"/>
      <protection locked="0"/>
    </xf>
    <xf numFmtId="3" fontId="65" fillId="0" borderId="0" xfId="5" applyNumberFormat="1" applyFont="1" applyAlignment="1" applyProtection="1">
      <alignment horizontal="center" vertical="center"/>
      <protection locked="0"/>
    </xf>
    <xf numFmtId="0" fontId="12" fillId="0" borderId="113" xfId="5" applyFont="1" applyBorder="1" applyAlignment="1">
      <alignment horizontal="center" vertical="center" wrapText="1"/>
    </xf>
    <xf numFmtId="2" fontId="12" fillId="0" borderId="121" xfId="5" applyNumberFormat="1" applyFont="1" applyBorder="1" applyAlignment="1">
      <alignment horizontal="center" vertical="center" wrapText="1"/>
    </xf>
    <xf numFmtId="2" fontId="12" fillId="0" borderId="122" xfId="5" applyNumberFormat="1" applyFont="1" applyBorder="1" applyAlignment="1">
      <alignment horizontal="center" vertical="center" wrapText="1"/>
    </xf>
    <xf numFmtId="177" fontId="12" fillId="0" borderId="44" xfId="5" applyNumberFormat="1" applyFont="1" applyBorder="1" applyAlignment="1">
      <alignment horizontal="center" vertical="center" wrapText="1"/>
    </xf>
    <xf numFmtId="177" fontId="12" fillId="0" borderId="123" xfId="5" applyNumberFormat="1" applyFont="1" applyBorder="1" applyAlignment="1">
      <alignment horizontal="center" vertical="center" wrapText="1"/>
    </xf>
    <xf numFmtId="0" fontId="60" fillId="0" borderId="120" xfId="5" applyFont="1" applyBorder="1" applyAlignment="1">
      <alignment horizontal="center" vertical="center" wrapText="1"/>
    </xf>
    <xf numFmtId="0" fontId="60" fillId="0" borderId="118" xfId="5" applyFont="1" applyBorder="1" applyAlignment="1">
      <alignment horizontal="center" vertical="center" wrapText="1"/>
    </xf>
    <xf numFmtId="0" fontId="60" fillId="0" borderId="119" xfId="5" applyFont="1" applyBorder="1" applyAlignment="1">
      <alignment horizontal="center" vertical="center" wrapText="1"/>
    </xf>
    <xf numFmtId="2" fontId="12" fillId="0" borderId="123" xfId="5" applyNumberFormat="1" applyFont="1" applyBorder="1" applyAlignment="1">
      <alignment horizontal="center" vertical="center" wrapText="1"/>
    </xf>
    <xf numFmtId="2" fontId="12" fillId="0" borderId="124" xfId="5" applyNumberFormat="1" applyFont="1" applyBorder="1" applyAlignment="1">
      <alignment horizontal="center" vertical="center" wrapText="1"/>
    </xf>
    <xf numFmtId="177" fontId="12" fillId="0" borderId="106" xfId="5" applyNumberFormat="1" applyFont="1" applyBorder="1" applyAlignment="1">
      <alignment horizontal="center" vertical="center" wrapText="1"/>
    </xf>
    <xf numFmtId="177" fontId="12" fillId="0" borderId="105" xfId="5" applyNumberFormat="1" applyFont="1" applyBorder="1" applyAlignment="1">
      <alignment horizontal="center" vertical="center" wrapText="1"/>
    </xf>
    <xf numFmtId="177" fontId="12" fillId="0" borderId="107" xfId="5" applyNumberFormat="1" applyFont="1" applyBorder="1" applyAlignment="1">
      <alignment horizontal="center" vertical="center" wrapText="1"/>
    </xf>
    <xf numFmtId="43" fontId="12" fillId="0" borderId="1" xfId="1" applyFont="1" applyBorder="1" applyAlignment="1">
      <alignment horizontal="center" vertical="center" wrapText="1"/>
    </xf>
    <xf numFmtId="0" fontId="12" fillId="0" borderId="123" xfId="5" applyFont="1" applyBorder="1" applyAlignment="1">
      <alignment horizontal="center" vertical="center" wrapText="1"/>
    </xf>
    <xf numFmtId="0" fontId="12" fillId="0" borderId="124" xfId="5" applyFont="1" applyBorder="1" applyAlignment="1">
      <alignment horizontal="center" vertical="center" wrapText="1"/>
    </xf>
    <xf numFmtId="0" fontId="60" fillId="0" borderId="108" xfId="5" applyFont="1" applyBorder="1" applyAlignment="1">
      <alignment horizontal="center" vertical="center" wrapText="1"/>
    </xf>
    <xf numFmtId="0" fontId="54" fillId="0" borderId="110" xfId="5" applyFont="1" applyBorder="1" applyAlignment="1">
      <alignment horizontal="center" vertical="center" wrapText="1"/>
    </xf>
    <xf numFmtId="0" fontId="12" fillId="0" borderId="0" xfId="5" applyFont="1" applyBorder="1" applyAlignment="1" applyProtection="1">
      <alignment horizontal="left" vertical="center" wrapText="1"/>
      <protection locked="0"/>
    </xf>
    <xf numFmtId="0" fontId="12" fillId="0" borderId="0" xfId="5" applyFont="1" applyBorder="1" applyAlignment="1" applyProtection="1">
      <alignment horizontal="center" vertical="center" wrapText="1"/>
      <protection locked="0"/>
    </xf>
    <xf numFmtId="2" fontId="12" fillId="0" borderId="0" xfId="5" applyNumberFormat="1" applyFont="1" applyBorder="1" applyAlignment="1" applyProtection="1">
      <alignment horizontal="center" vertical="center"/>
      <protection locked="0"/>
    </xf>
    <xf numFmtId="0" fontId="12" fillId="0" borderId="0" xfId="5" applyFont="1" applyBorder="1" applyAlignment="1" applyProtection="1">
      <alignment horizontal="center" vertical="center"/>
      <protection locked="0"/>
    </xf>
    <xf numFmtId="4" fontId="12" fillId="0" borderId="0" xfId="5" applyNumberFormat="1" applyFont="1" applyBorder="1" applyAlignment="1" applyProtection="1">
      <alignment horizontal="center" vertical="center"/>
      <protection locked="0"/>
    </xf>
    <xf numFmtId="0" fontId="12" fillId="0" borderId="125" xfId="5" applyFont="1" applyBorder="1" applyAlignment="1">
      <alignment horizontal="center" vertical="center" wrapText="1"/>
    </xf>
    <xf numFmtId="0" fontId="12" fillId="0" borderId="126" xfId="5" applyFont="1" applyBorder="1" applyAlignment="1">
      <alignment horizontal="center" vertical="center" wrapText="1"/>
    </xf>
    <xf numFmtId="4" fontId="40" fillId="0" borderId="67" xfId="0" applyNumberFormat="1" applyFont="1" applyBorder="1"/>
    <xf numFmtId="0" fontId="3" fillId="0" borderId="58" xfId="5" applyBorder="1" applyAlignment="1" applyProtection="1">
      <alignment horizontal="center" vertical="center" wrapText="1"/>
      <protection locked="0"/>
    </xf>
    <xf numFmtId="4" fontId="3" fillId="0" borderId="13" xfId="1" applyNumberFormat="1" applyFont="1" applyBorder="1" applyAlignment="1" applyProtection="1">
      <alignment horizontal="center" vertical="center" wrapText="1"/>
      <protection locked="0"/>
    </xf>
    <xf numFmtId="0" fontId="49" fillId="0" borderId="0" xfId="5" applyFont="1" applyAlignment="1">
      <alignment horizontal="center" vertical="center"/>
    </xf>
    <xf numFmtId="4" fontId="3" fillId="0" borderId="14" xfId="5" applyNumberFormat="1" applyBorder="1" applyAlignment="1" applyProtection="1">
      <alignment horizontal="center" vertical="center" wrapText="1"/>
      <protection locked="0"/>
    </xf>
    <xf numFmtId="0" fontId="59" fillId="0" borderId="15" xfId="5" applyFont="1" applyBorder="1" applyAlignment="1" applyProtection="1">
      <alignment horizontal="center" vertical="center"/>
      <protection locked="0"/>
    </xf>
    <xf numFmtId="4" fontId="59" fillId="0" borderId="15" xfId="5" applyNumberFormat="1" applyFont="1" applyBorder="1" applyAlignment="1" applyProtection="1">
      <alignment horizontal="center" vertical="center"/>
      <protection locked="0"/>
    </xf>
    <xf numFmtId="0" fontId="3" fillId="0" borderId="58" xfId="5" applyBorder="1" applyAlignment="1" applyProtection="1">
      <alignment horizontal="right" vertical="center" wrapText="1"/>
      <protection locked="0"/>
    </xf>
    <xf numFmtId="0" fontId="3" fillId="0" borderId="14" xfId="5" applyBorder="1" applyAlignment="1" applyProtection="1">
      <alignment horizontal="right" vertical="center" wrapText="1"/>
      <protection locked="0"/>
    </xf>
    <xf numFmtId="0" fontId="54" fillId="0" borderId="0" xfId="5" applyFont="1" applyAlignment="1" applyProtection="1">
      <alignment horizontal="center" vertical="center" wrapText="1"/>
      <protection locked="0"/>
    </xf>
    <xf numFmtId="0" fontId="54" fillId="0" borderId="101" xfId="5" applyFont="1" applyBorder="1" applyAlignment="1" applyProtection="1">
      <alignment horizontal="center" vertical="center" wrapText="1"/>
      <protection locked="0"/>
    </xf>
    <xf numFmtId="0" fontId="59" fillId="0" borderId="1" xfId="5" applyFont="1" applyBorder="1" applyAlignment="1" applyProtection="1">
      <alignment horizontal="right" vertical="center" wrapText="1"/>
      <protection locked="0"/>
    </xf>
    <xf numFmtId="2" fontId="59" fillId="0" borderId="1" xfId="5" applyNumberFormat="1" applyFont="1" applyBorder="1" applyAlignment="1" applyProtection="1">
      <alignment horizontal="center" vertical="center" wrapText="1"/>
      <protection locked="0"/>
    </xf>
    <xf numFmtId="4" fontId="66" fillId="2" borderId="0" xfId="5" applyNumberFormat="1" applyFont="1" applyFill="1" applyBorder="1" applyAlignment="1" applyProtection="1">
      <alignment horizontal="center" vertical="center" wrapText="1"/>
      <protection locked="0"/>
    </xf>
    <xf numFmtId="4" fontId="66" fillId="2" borderId="0" xfId="5" applyNumberFormat="1" applyFont="1" applyFill="1" applyBorder="1" applyAlignment="1" applyProtection="1">
      <alignment horizontal="center" vertical="center"/>
      <protection locked="0"/>
    </xf>
    <xf numFmtId="0" fontId="12" fillId="0" borderId="0" xfId="5" applyFont="1" applyAlignment="1" applyProtection="1">
      <alignment horizontal="center" vertical="center" wrapText="1"/>
      <protection locked="0"/>
    </xf>
    <xf numFmtId="0" fontId="12" fillId="0" borderId="0" xfId="5" applyFont="1" applyBorder="1" applyAlignment="1">
      <alignment horizontal="center" vertical="center" wrapText="1"/>
    </xf>
    <xf numFmtId="0" fontId="49" fillId="0" borderId="0" xfId="5" applyFont="1" applyBorder="1" applyAlignment="1">
      <alignment horizontal="center" vertical="center"/>
    </xf>
    <xf numFmtId="0" fontId="12" fillId="0" borderId="0" xfId="5" applyFont="1" applyAlignment="1">
      <alignment horizontal="center" vertical="center" wrapText="1"/>
    </xf>
    <xf numFmtId="0" fontId="12" fillId="0" borderId="121" xfId="5" applyFont="1" applyBorder="1" applyAlignment="1">
      <alignment horizontal="center" vertical="center" wrapText="1"/>
    </xf>
    <xf numFmtId="14" fontId="12" fillId="0" borderId="0" xfId="5" applyNumberFormat="1" applyFont="1" applyAlignment="1">
      <alignment horizontal="right" vertical="center" wrapText="1"/>
    </xf>
    <xf numFmtId="0" fontId="9" fillId="0" borderId="113" xfId="5" applyFont="1" applyBorder="1" applyAlignment="1">
      <alignment horizontal="center" vertical="center" wrapText="1"/>
    </xf>
    <xf numFmtId="0" fontId="54" fillId="0" borderId="0" xfId="5" applyFont="1" applyBorder="1" applyAlignment="1" applyProtection="1">
      <alignment horizontal="right" vertical="center" wrapText="1"/>
      <protection locked="0"/>
    </xf>
    <xf numFmtId="4" fontId="49" fillId="0" borderId="0" xfId="5" applyNumberFormat="1" applyFont="1" applyBorder="1" applyAlignment="1" applyProtection="1">
      <alignment horizontal="center" vertical="center" wrapText="1"/>
      <protection locked="0"/>
    </xf>
    <xf numFmtId="4" fontId="12" fillId="0" borderId="127" xfId="5" applyNumberFormat="1" applyFont="1" applyBorder="1" applyAlignment="1">
      <alignment horizontal="center" vertical="center"/>
    </xf>
    <xf numFmtId="4" fontId="12" fillId="0" borderId="121" xfId="5" applyNumberFormat="1" applyFont="1" applyBorder="1" applyAlignment="1">
      <alignment horizontal="center" vertical="center"/>
    </xf>
    <xf numFmtId="0" fontId="3" fillId="0" borderId="0" xfId="5" applyFont="1" applyBorder="1" applyAlignment="1" applyProtection="1">
      <alignment horizontal="left" vertical="center" wrapText="1"/>
      <protection locked="0"/>
    </xf>
    <xf numFmtId="14" fontId="3" fillId="0" borderId="7" xfId="5" applyNumberFormat="1" applyFont="1" applyBorder="1" applyAlignment="1">
      <alignment horizontal="center" vertical="center" wrapText="1"/>
    </xf>
    <xf numFmtId="14" fontId="3" fillId="0" borderId="8" xfId="5" applyNumberFormat="1" applyFont="1" applyBorder="1" applyAlignment="1">
      <alignment horizontal="center" vertical="center" wrapText="1"/>
    </xf>
    <xf numFmtId="14" fontId="3" fillId="0" borderId="9" xfId="5" applyNumberFormat="1" applyFont="1" applyBorder="1" applyAlignment="1">
      <alignment horizontal="center" vertical="center" wrapText="1"/>
    </xf>
    <xf numFmtId="0" fontId="49" fillId="0" borderId="1" xfId="5" applyFont="1" applyBorder="1" applyAlignment="1">
      <alignment horizontal="center" vertical="center" wrapText="1"/>
    </xf>
    <xf numFmtId="0" fontId="9" fillId="0" borderId="116" xfId="5" applyFont="1" applyBorder="1" applyAlignment="1">
      <alignment horizontal="center" vertical="center" wrapText="1"/>
    </xf>
    <xf numFmtId="0" fontId="9" fillId="0" borderId="117" xfId="5" applyFont="1" applyBorder="1" applyAlignment="1">
      <alignment horizontal="center" vertical="center" wrapText="1"/>
    </xf>
    <xf numFmtId="4" fontId="13" fillId="0" borderId="127" xfId="5" applyNumberFormat="1" applyFont="1" applyBorder="1" applyAlignment="1">
      <alignment horizontal="center" vertical="center"/>
    </xf>
    <xf numFmtId="4" fontId="13" fillId="0" borderId="121" xfId="5" applyNumberFormat="1" applyFont="1" applyBorder="1" applyAlignment="1">
      <alignment horizontal="center" vertical="center"/>
    </xf>
    <xf numFmtId="2" fontId="3" fillId="0" borderId="0" xfId="5" applyNumberFormat="1" applyFont="1" applyBorder="1" applyAlignment="1" applyProtection="1">
      <alignment horizontal="center" vertical="center" wrapText="1"/>
      <protection locked="0"/>
    </xf>
    <xf numFmtId="0" fontId="60" fillId="0" borderId="0" xfId="5" applyFont="1" applyBorder="1" applyAlignment="1">
      <alignment horizontal="center" vertical="center" wrapText="1"/>
    </xf>
    <xf numFmtId="0" fontId="60" fillId="0" borderId="101" xfId="5" applyFont="1" applyBorder="1" applyAlignment="1">
      <alignment horizontal="center" vertical="center" wrapText="1"/>
    </xf>
    <xf numFmtId="4" fontId="13" fillId="0" borderId="0" xfId="5" applyNumberFormat="1" applyFont="1" applyAlignment="1">
      <alignment horizontal="center" vertical="center"/>
    </xf>
    <xf numFmtId="4" fontId="12" fillId="0" borderId="0" xfId="5" applyNumberFormat="1" applyFont="1" applyAlignment="1">
      <alignment horizontal="center" vertical="center"/>
    </xf>
    <xf numFmtId="43" fontId="13" fillId="0" borderId="0" xfId="1" applyFont="1" applyBorder="1" applyAlignment="1" applyProtection="1">
      <alignment horizontal="center" vertical="center"/>
    </xf>
    <xf numFmtId="43" fontId="13" fillId="0" borderId="121" xfId="1" applyFont="1" applyBorder="1" applyAlignment="1" applyProtection="1">
      <alignment horizontal="center" vertical="center"/>
    </xf>
    <xf numFmtId="0" fontId="3" fillId="0" borderId="15" xfId="5" applyBorder="1" applyAlignment="1" applyProtection="1">
      <alignment horizontal="center" vertical="center" wrapText="1"/>
      <protection locked="0"/>
    </xf>
    <xf numFmtId="0" fontId="65" fillId="0" borderId="0" xfId="5" applyFont="1" applyAlignment="1" applyProtection="1">
      <alignment horizontal="center" vertical="center" wrapText="1"/>
      <protection locked="0"/>
    </xf>
    <xf numFmtId="0" fontId="3" fillId="0" borderId="13" xfId="5" applyBorder="1" applyAlignment="1" applyProtection="1">
      <alignment horizontal="center" vertical="center"/>
      <protection locked="0"/>
    </xf>
    <xf numFmtId="0" fontId="60" fillId="0" borderId="0" xfId="5" applyFont="1" applyAlignment="1" applyProtection="1">
      <alignment horizontal="center" vertical="center" wrapText="1"/>
      <protection locked="0"/>
    </xf>
    <xf numFmtId="0" fontId="49" fillId="0" borderId="48" xfId="5" applyFont="1" applyBorder="1" applyAlignment="1" applyProtection="1">
      <alignment horizontal="center" vertical="center" wrapText="1"/>
    </xf>
    <xf numFmtId="0" fontId="49" fillId="0" borderId="49" xfId="5" applyFont="1" applyBorder="1" applyAlignment="1" applyProtection="1">
      <alignment horizontal="center" vertical="center" wrapText="1"/>
    </xf>
    <xf numFmtId="0" fontId="52" fillId="0" borderId="0" xfId="5" applyFont="1" applyBorder="1" applyAlignment="1" applyProtection="1">
      <alignment horizontal="left" vertical="center" wrapText="1" indent="2"/>
    </xf>
    <xf numFmtId="0" fontId="50" fillId="0" borderId="52" xfId="99" applyFont="1" applyBorder="1" applyAlignment="1">
      <alignment horizontal="center" vertical="center" wrapText="1"/>
    </xf>
    <xf numFmtId="0" fontId="50" fillId="0" borderId="47" xfId="99" applyFont="1" applyBorder="1" applyAlignment="1">
      <alignment horizontal="center" vertical="center" wrapText="1"/>
    </xf>
    <xf numFmtId="0" fontId="49" fillId="0" borderId="20" xfId="5" applyFont="1" applyBorder="1" applyAlignment="1" applyProtection="1">
      <alignment horizontal="center" vertical="center" wrapText="1"/>
    </xf>
    <xf numFmtId="0" fontId="49" fillId="0" borderId="47" xfId="5" applyFont="1" applyBorder="1" applyAlignment="1" applyProtection="1">
      <alignment horizontal="center" vertical="center" wrapText="1"/>
    </xf>
    <xf numFmtId="0" fontId="49" fillId="0" borderId="66" xfId="5" applyFont="1" applyBorder="1" applyAlignment="1" applyProtection="1">
      <alignment horizontal="center" vertical="center" wrapText="1"/>
    </xf>
    <xf numFmtId="49" fontId="12" fillId="0" borderId="102" xfId="5" applyNumberFormat="1" applyFont="1" applyBorder="1" applyAlignment="1" applyProtection="1">
      <alignment horizontal="left" vertical="top" wrapText="1"/>
    </xf>
    <xf numFmtId="49" fontId="12" fillId="0" borderId="95" xfId="5" applyNumberFormat="1" applyFont="1" applyBorder="1" applyAlignment="1" applyProtection="1">
      <alignment horizontal="left" vertical="top" wrapText="1"/>
    </xf>
    <xf numFmtId="49" fontId="12" fillId="0" borderId="98" xfId="5" applyNumberFormat="1" applyFont="1" applyBorder="1" applyAlignment="1" applyProtection="1">
      <alignment horizontal="left" vertical="top" wrapText="1"/>
    </xf>
    <xf numFmtId="0" fontId="49" fillId="0" borderId="28" xfId="5" applyFont="1" applyBorder="1" applyAlignment="1" applyProtection="1">
      <alignment horizontal="left" vertical="center" wrapText="1"/>
    </xf>
    <xf numFmtId="0" fontId="49" fillId="0" borderId="24" xfId="5" applyFont="1" applyBorder="1" applyAlignment="1" applyProtection="1">
      <alignment horizontal="left" vertical="center" wrapText="1"/>
    </xf>
    <xf numFmtId="0" fontId="49" fillId="0" borderId="31" xfId="5" applyFont="1" applyBorder="1" applyAlignment="1" applyProtection="1">
      <alignment horizontal="left" vertical="center" wrapText="1"/>
    </xf>
    <xf numFmtId="49" fontId="12" fillId="0" borderId="47" xfId="5" applyNumberFormat="1" applyFont="1" applyBorder="1" applyAlignment="1" applyProtection="1">
      <alignment horizontal="left" vertical="center" wrapText="1"/>
    </xf>
    <xf numFmtId="49" fontId="12" fillId="0" borderId="37" xfId="5" applyNumberFormat="1" applyFont="1" applyBorder="1" applyAlignment="1" applyProtection="1">
      <alignment horizontal="left" vertical="center" wrapText="1"/>
    </xf>
    <xf numFmtId="0" fontId="12" fillId="0" borderId="1" xfId="5" applyFont="1" applyBorder="1" applyAlignment="1" applyProtection="1">
      <alignment horizontal="center" vertical="top" wrapText="1"/>
      <protection locked="0"/>
    </xf>
    <xf numFmtId="2" fontId="12" fillId="0" borderId="1" xfId="5" applyNumberFormat="1" applyFont="1" applyBorder="1" applyAlignment="1" applyProtection="1">
      <alignment horizontal="center" vertical="top" wrapText="1"/>
      <protection locked="0"/>
    </xf>
    <xf numFmtId="0" fontId="12" fillId="0" borderId="47" xfId="5" applyFont="1" applyBorder="1" applyAlignment="1" applyProtection="1">
      <alignment horizontal="center" vertical="center" wrapText="1"/>
    </xf>
    <xf numFmtId="0" fontId="12" fillId="0" borderId="53" xfId="5" applyFont="1" applyBorder="1" applyAlignment="1" applyProtection="1">
      <alignment horizontal="center" vertical="center" wrapText="1"/>
    </xf>
    <xf numFmtId="0" fontId="12" fillId="0" borderId="95" xfId="5" applyFont="1" applyBorder="1" applyAlignment="1" applyProtection="1">
      <alignment horizontal="center" vertical="center" wrapText="1"/>
    </xf>
    <xf numFmtId="0" fontId="12" fillId="0" borderId="98" xfId="5" applyFont="1" applyBorder="1" applyAlignment="1" applyProtection="1">
      <alignment horizontal="center" vertical="center" wrapText="1"/>
    </xf>
    <xf numFmtId="0" fontId="12" fillId="0" borderId="49" xfId="5" applyFont="1" applyBorder="1" applyAlignment="1" applyProtection="1">
      <alignment horizontal="center" vertical="center" wrapText="1"/>
    </xf>
    <xf numFmtId="0" fontId="12" fillId="0" borderId="50" xfId="5" applyFont="1" applyBorder="1" applyAlignment="1" applyProtection="1">
      <alignment horizontal="center" vertical="center" wrapText="1"/>
    </xf>
    <xf numFmtId="14" fontId="12" fillId="0" borderId="49" xfId="5" applyNumberFormat="1" applyFont="1" applyBorder="1" applyAlignment="1" applyProtection="1">
      <alignment horizontal="center" vertical="center" wrapText="1"/>
    </xf>
    <xf numFmtId="14" fontId="12" fillId="0" borderId="50" xfId="5" applyNumberFormat="1" applyFont="1" applyBorder="1" applyAlignment="1" applyProtection="1">
      <alignment horizontal="center" vertical="center" wrapText="1"/>
    </xf>
    <xf numFmtId="0" fontId="66" fillId="2" borderId="0" xfId="5" applyFont="1" applyFill="1" applyBorder="1" applyAlignment="1" applyProtection="1">
      <alignment horizontal="center" vertical="center" wrapText="1"/>
      <protection locked="0"/>
    </xf>
    <xf numFmtId="0" fontId="60" fillId="0" borderId="0" xfId="5" applyFont="1" applyAlignment="1" applyProtection="1">
      <alignment horizontal="center" vertical="center"/>
      <protection locked="0"/>
    </xf>
    <xf numFmtId="0" fontId="12" fillId="0" borderId="8" xfId="5" applyFont="1" applyBorder="1" applyAlignment="1" applyProtection="1">
      <alignment horizontal="center" vertical="center" wrapText="1"/>
      <protection locked="0"/>
    </xf>
    <xf numFmtId="2" fontId="3" fillId="0" borderId="15" xfId="5" applyNumberFormat="1" applyBorder="1" applyAlignment="1" applyProtection="1">
      <alignment horizontal="center" vertical="center" wrapText="1"/>
      <protection locked="0"/>
    </xf>
    <xf numFmtId="0" fontId="54" fillId="0" borderId="0" xfId="5" applyFont="1" applyAlignment="1" applyProtection="1">
      <alignment horizontal="center" vertical="center"/>
      <protection locked="0"/>
    </xf>
    <xf numFmtId="0" fontId="12" fillId="0" borderId="101" xfId="5" applyFont="1" applyBorder="1" applyAlignment="1" applyProtection="1">
      <alignment horizontal="center" vertical="center"/>
      <protection locked="0"/>
    </xf>
    <xf numFmtId="0" fontId="3" fillId="0" borderId="54" xfId="5" applyBorder="1" applyAlignment="1" applyProtection="1">
      <alignment horizontal="right" vertical="center"/>
      <protection locked="0"/>
    </xf>
    <xf numFmtId="0" fontId="3" fillId="0" borderId="13" xfId="5" applyBorder="1" applyAlignment="1" applyProtection="1">
      <alignment horizontal="right" vertical="center"/>
      <protection locked="0"/>
    </xf>
    <xf numFmtId="0" fontId="59" fillId="0" borderId="15" xfId="5" applyFont="1" applyBorder="1" applyAlignment="1" applyProtection="1">
      <alignment horizontal="right" vertical="center" wrapText="1"/>
      <protection locked="0"/>
    </xf>
    <xf numFmtId="2" fontId="59" fillId="0" borderId="15" xfId="5" applyNumberFormat="1" applyFont="1" applyBorder="1" applyAlignment="1" applyProtection="1">
      <alignment horizontal="center" vertical="center" wrapText="1"/>
      <protection locked="0"/>
    </xf>
    <xf numFmtId="43" fontId="13" fillId="0" borderId="127" xfId="1" applyFont="1" applyBorder="1" applyAlignment="1" applyProtection="1">
      <alignment horizontal="center" vertical="center"/>
    </xf>
    <xf numFmtId="43" fontId="12" fillId="0" borderId="127" xfId="1" applyFont="1" applyBorder="1" applyAlignment="1" applyProtection="1">
      <alignment horizontal="center" vertical="center"/>
    </xf>
    <xf numFmtId="43" fontId="12" fillId="0" borderId="121" xfId="1" applyFont="1" applyBorder="1" applyAlignment="1" applyProtection="1">
      <alignment horizontal="center" vertical="center"/>
    </xf>
    <xf numFmtId="0" fontId="63" fillId="0" borderId="100" xfId="5" applyFont="1" applyBorder="1" applyAlignment="1" applyProtection="1">
      <alignment horizontal="center" vertical="center" wrapText="1"/>
      <protection locked="0"/>
    </xf>
    <xf numFmtId="0" fontId="63" fillId="0" borderId="0" xfId="5" applyFont="1" applyBorder="1" applyAlignment="1" applyProtection="1">
      <alignment horizontal="center" vertical="center" wrapText="1"/>
      <protection locked="0"/>
    </xf>
    <xf numFmtId="2" fontId="63" fillId="0" borderId="0" xfId="5" applyNumberFormat="1" applyFont="1" applyBorder="1" applyAlignment="1" applyProtection="1">
      <alignment horizontal="center" vertical="center" wrapText="1"/>
      <protection locked="0"/>
    </xf>
    <xf numFmtId="0" fontId="59" fillId="0" borderId="0" xfId="5" applyFont="1" applyBorder="1" applyAlignment="1" applyProtection="1">
      <alignment horizontal="center" vertical="center"/>
      <protection locked="0"/>
    </xf>
    <xf numFmtId="0" fontId="12" fillId="0" borderId="1" xfId="5" applyFont="1" applyBorder="1" applyAlignment="1">
      <alignment horizontal="center" vertical="center" wrapText="1"/>
    </xf>
    <xf numFmtId="0" fontId="12" fillId="0" borderId="106" xfId="5" applyFont="1" applyBorder="1" applyAlignment="1">
      <alignment horizontal="center" vertical="center" wrapText="1"/>
    </xf>
    <xf numFmtId="0" fontId="12" fillId="0" borderId="105" xfId="5" applyFont="1" applyBorder="1" applyAlignment="1">
      <alignment horizontal="center" vertical="center" wrapText="1"/>
    </xf>
    <xf numFmtId="0" fontId="12" fillId="0" borderId="107" xfId="5" applyFont="1" applyBorder="1" applyAlignment="1">
      <alignment horizontal="center" vertical="center" wrapText="1"/>
    </xf>
    <xf numFmtId="174" fontId="12" fillId="0" borderId="0" xfId="5" applyNumberFormat="1" applyFont="1" applyAlignment="1">
      <alignment horizontal="center" vertical="center"/>
    </xf>
    <xf numFmtId="0" fontId="62" fillId="0" borderId="0" xfId="5" applyFont="1" applyAlignment="1">
      <alignment horizontal="center" vertical="center"/>
    </xf>
    <xf numFmtId="0" fontId="13" fillId="0" borderId="0" xfId="5" applyFont="1" applyAlignment="1">
      <alignment horizontal="center" vertical="center"/>
    </xf>
    <xf numFmtId="0" fontId="12" fillId="0" borderId="127" xfId="5" applyFont="1" applyBorder="1" applyAlignment="1">
      <alignment horizontal="center" vertical="center" wrapText="1"/>
    </xf>
    <xf numFmtId="0" fontId="59" fillId="0" borderId="60" xfId="5" applyFont="1" applyBorder="1" applyAlignment="1" applyProtection="1">
      <alignment horizontal="right" vertical="center" wrapText="1"/>
      <protection locked="0"/>
    </xf>
    <xf numFmtId="4" fontId="59" fillId="0" borderId="15" xfId="5" applyNumberFormat="1" applyFont="1" applyBorder="1" applyAlignment="1" applyProtection="1">
      <alignment horizontal="center" vertical="center" wrapText="1"/>
      <protection locked="0"/>
    </xf>
    <xf numFmtId="0" fontId="69" fillId="0" borderId="0" xfId="5" applyFont="1" applyBorder="1" applyAlignment="1" applyProtection="1">
      <alignment horizontal="center" vertical="center"/>
      <protection locked="0"/>
    </xf>
    <xf numFmtId="0" fontId="3" fillId="0" borderId="1" xfId="5" applyBorder="1" applyAlignment="1" applyProtection="1">
      <alignment horizontal="center" vertical="center" wrapText="1"/>
      <protection locked="0"/>
    </xf>
    <xf numFmtId="49" fontId="12" fillId="0" borderId="1" xfId="5" applyNumberFormat="1" applyFont="1" applyBorder="1" applyAlignment="1" applyProtection="1">
      <alignment horizontal="center" vertical="center" wrapText="1"/>
      <protection locked="0"/>
    </xf>
    <xf numFmtId="2" fontId="59" fillId="0" borderId="1" xfId="5" applyNumberFormat="1" applyFont="1" applyBorder="1" applyAlignment="1" applyProtection="1">
      <alignment horizontal="center" vertical="center"/>
      <protection locked="0"/>
    </xf>
    <xf numFmtId="0" fontId="9" fillId="23" borderId="48" xfId="0" applyFont="1" applyFill="1" applyBorder="1" applyAlignment="1">
      <alignment horizontal="left" vertical="center" wrapText="1"/>
    </xf>
    <xf numFmtId="0" fontId="9" fillId="23" borderId="49" xfId="0" applyFont="1" applyFill="1" applyBorder="1" applyAlignment="1">
      <alignment horizontal="left" vertical="center" wrapText="1"/>
    </xf>
    <xf numFmtId="0" fontId="9" fillId="23" borderId="50" xfId="0" applyFont="1" applyFill="1" applyBorder="1" applyAlignment="1">
      <alignment horizontal="left" vertical="center" wrapText="1"/>
    </xf>
    <xf numFmtId="3" fontId="63" fillId="0" borderId="0" xfId="5" applyNumberFormat="1" applyFont="1" applyAlignment="1" applyProtection="1">
      <alignment horizontal="center" vertical="center"/>
      <protection locked="0"/>
    </xf>
    <xf numFmtId="0" fontId="13" fillId="0" borderId="113" xfId="5" applyFont="1" applyBorder="1" applyAlignment="1">
      <alignment horizontal="center" vertical="center" wrapText="1"/>
    </xf>
    <xf numFmtId="14" fontId="3" fillId="0" borderId="1" xfId="5" applyNumberFormat="1" applyFont="1" applyBorder="1" applyAlignment="1">
      <alignment horizontal="center" vertical="center" wrapText="1"/>
    </xf>
    <xf numFmtId="0" fontId="3" fillId="0" borderId="105" xfId="5" applyFont="1" applyBorder="1" applyAlignment="1">
      <alignment horizontal="center" vertical="center" wrapText="1"/>
    </xf>
    <xf numFmtId="0" fontId="81" fillId="0" borderId="95" xfId="5" applyFont="1" applyBorder="1" applyAlignment="1" applyProtection="1">
      <alignment horizontal="center" vertical="center" wrapText="1"/>
      <protection locked="0"/>
    </xf>
    <xf numFmtId="0" fontId="81" fillId="0" borderId="98" xfId="5" applyFont="1" applyBorder="1" applyAlignment="1" applyProtection="1">
      <alignment horizontal="center" vertical="center" wrapText="1"/>
      <protection locked="0"/>
    </xf>
    <xf numFmtId="3" fontId="51" fillId="3" borderId="48" xfId="5" applyNumberFormat="1" applyFont="1" applyFill="1" applyBorder="1" applyAlignment="1" applyProtection="1">
      <alignment horizontal="center" vertical="center" wrapText="1"/>
    </xf>
    <xf numFmtId="3" fontId="0" fillId="0" borderId="67" xfId="0" applyNumberFormat="1" applyBorder="1"/>
    <xf numFmtId="0" fontId="69" fillId="0" borderId="0" xfId="5" applyFont="1" applyBorder="1" applyAlignment="1" applyProtection="1">
      <alignment horizontal="center" vertical="center" wrapText="1"/>
      <protection locked="0"/>
    </xf>
    <xf numFmtId="3" fontId="0" fillId="0" borderId="106" xfId="1" applyNumberFormat="1" applyFont="1" applyBorder="1" applyAlignment="1">
      <alignment horizontal="center" vertical="center"/>
    </xf>
    <xf numFmtId="3" fontId="0" fillId="0" borderId="103" xfId="1" applyNumberFormat="1" applyFont="1" applyBorder="1" applyAlignment="1">
      <alignment horizontal="center" vertical="center"/>
    </xf>
    <xf numFmtId="0" fontId="54" fillId="0" borderId="0" xfId="5" applyFont="1" applyBorder="1" applyAlignment="1" applyProtection="1">
      <alignment horizontal="center" vertical="center" wrapText="1"/>
      <protection locked="0"/>
    </xf>
    <xf numFmtId="0" fontId="49" fillId="0" borderId="1" xfId="5" applyFont="1" applyBorder="1" applyAlignment="1" applyProtection="1">
      <alignment horizontal="center" vertical="center" wrapText="1"/>
      <protection locked="0"/>
    </xf>
    <xf numFmtId="2" fontId="49" fillId="0" borderId="1" xfId="5" applyNumberFormat="1" applyFont="1" applyBorder="1" applyAlignment="1" applyProtection="1">
      <alignment horizontal="center" vertical="center" wrapText="1"/>
      <protection locked="0"/>
    </xf>
    <xf numFmtId="0" fontId="49" fillId="0" borderId="0" xfId="5" applyFont="1" applyBorder="1" applyAlignment="1" applyProtection="1">
      <alignment horizontal="right" vertical="top" wrapText="1"/>
      <protection locked="0"/>
    </xf>
    <xf numFmtId="0" fontId="65" fillId="0" borderId="43" xfId="5" applyFont="1" applyBorder="1" applyAlignment="1" applyProtection="1">
      <alignment horizontal="center" vertical="center" wrapText="1"/>
      <protection locked="0"/>
    </xf>
    <xf numFmtId="0" fontId="65" fillId="0" borderId="135" xfId="5" applyFont="1" applyBorder="1" applyAlignment="1" applyProtection="1">
      <alignment horizontal="center" vertical="center" wrapText="1"/>
      <protection locked="0"/>
    </xf>
    <xf numFmtId="0" fontId="65" fillId="0" borderId="44" xfId="5" applyFont="1" applyBorder="1" applyAlignment="1" applyProtection="1">
      <alignment horizontal="center" vertical="center"/>
      <protection locked="0"/>
    </xf>
    <xf numFmtId="0" fontId="65" fillId="0" borderId="124" xfId="5" applyFont="1" applyBorder="1" applyAlignment="1" applyProtection="1">
      <alignment horizontal="center" vertical="center"/>
      <protection locked="0"/>
    </xf>
    <xf numFmtId="0" fontId="65" fillId="0" borderId="45" xfId="5" applyFont="1" applyBorder="1" applyAlignment="1" applyProtection="1">
      <alignment horizontal="center" vertical="center" wrapText="1"/>
      <protection locked="0"/>
    </xf>
    <xf numFmtId="0" fontId="65" fillId="0" borderId="126" xfId="5" applyFont="1" applyBorder="1" applyAlignment="1" applyProtection="1">
      <alignment horizontal="center" vertical="center" wrapText="1"/>
      <protection locked="0"/>
    </xf>
    <xf numFmtId="2" fontId="3" fillId="0" borderId="14" xfId="5" applyNumberFormat="1" applyFont="1" applyBorder="1" applyAlignment="1" applyProtection="1">
      <alignment horizontal="right" vertical="center" wrapText="1"/>
      <protection locked="0"/>
    </xf>
    <xf numFmtId="2" fontId="3" fillId="0" borderId="15" xfId="5" applyNumberFormat="1" applyBorder="1" applyAlignment="1" applyProtection="1">
      <alignment horizontal="center" vertical="center"/>
      <protection locked="0"/>
    </xf>
    <xf numFmtId="2" fontId="76" fillId="0" borderId="128" xfId="5" applyNumberFormat="1" applyFont="1" applyBorder="1" applyAlignment="1" applyProtection="1">
      <alignment horizontal="center" vertical="center" wrapText="1"/>
      <protection locked="0"/>
    </xf>
    <xf numFmtId="2" fontId="76" fillId="0" borderId="10" xfId="5" applyNumberFormat="1" applyFont="1" applyBorder="1" applyAlignment="1" applyProtection="1">
      <alignment horizontal="center" vertical="center" wrapText="1"/>
      <protection locked="0"/>
    </xf>
    <xf numFmtId="0" fontId="88" fillId="0" borderId="95" xfId="5" applyFont="1" applyBorder="1" applyAlignment="1" applyProtection="1">
      <alignment horizontal="center" vertical="center" wrapText="1"/>
      <protection locked="0"/>
    </xf>
    <xf numFmtId="0" fontId="88" fillId="0" borderId="98" xfId="5" applyFont="1" applyBorder="1" applyAlignment="1" applyProtection="1">
      <alignment horizontal="center" vertical="center" wrapText="1"/>
      <protection locked="0"/>
    </xf>
    <xf numFmtId="4" fontId="49" fillId="0" borderId="0" xfId="5" applyNumberFormat="1" applyFont="1" applyBorder="1" applyAlignment="1" applyProtection="1">
      <alignment horizontal="left" vertical="center"/>
      <protection locked="0"/>
    </xf>
    <xf numFmtId="4" fontId="81" fillId="0" borderId="0" xfId="5" applyNumberFormat="1" applyFont="1" applyBorder="1" applyAlignment="1" applyProtection="1">
      <alignment horizontal="center" vertical="center" wrapText="1"/>
      <protection locked="0"/>
    </xf>
    <xf numFmtId="4" fontId="81" fillId="0" borderId="101" xfId="5" applyNumberFormat="1" applyFont="1" applyBorder="1" applyAlignment="1" applyProtection="1">
      <alignment horizontal="center" vertical="center" wrapText="1"/>
      <protection locked="0"/>
    </xf>
    <xf numFmtId="2" fontId="59" fillId="0" borderId="0" xfId="5" applyNumberFormat="1" applyFont="1" applyBorder="1" applyAlignment="1" applyProtection="1">
      <alignment horizontal="center" vertical="center" wrapText="1"/>
      <protection locked="0"/>
    </xf>
    <xf numFmtId="2" fontId="59" fillId="0" borderId="101" xfId="5" applyNumberFormat="1" applyFont="1" applyBorder="1" applyAlignment="1" applyProtection="1">
      <alignment horizontal="center" vertical="center" wrapText="1"/>
      <protection locked="0"/>
    </xf>
    <xf numFmtId="2" fontId="59" fillId="0" borderId="95" xfId="5" applyNumberFormat="1" applyFont="1" applyBorder="1" applyAlignment="1" applyProtection="1">
      <alignment horizontal="center" vertical="center" wrapText="1"/>
      <protection locked="0"/>
    </xf>
    <xf numFmtId="2" fontId="59" fillId="0" borderId="98" xfId="5" applyNumberFormat="1" applyFont="1" applyBorder="1" applyAlignment="1" applyProtection="1">
      <alignment horizontal="center" vertical="center" wrapText="1"/>
      <protection locked="0"/>
    </xf>
    <xf numFmtId="0" fontId="3" fillId="0" borderId="16" xfId="5" applyFont="1" applyBorder="1" applyAlignment="1" applyProtection="1">
      <alignment horizontal="center" vertical="center" wrapText="1"/>
      <protection locked="0"/>
    </xf>
    <xf numFmtId="0" fontId="3" fillId="0" borderId="14" xfId="5" applyFont="1" applyBorder="1" applyAlignment="1" applyProtection="1">
      <alignment horizontal="right" vertical="center" wrapText="1"/>
      <protection locked="0"/>
    </xf>
    <xf numFmtId="2" fontId="3" fillId="0" borderId="14" xfId="5" applyNumberFormat="1" applyFont="1" applyBorder="1" applyAlignment="1" applyProtection="1">
      <alignment horizontal="right" vertical="center"/>
      <protection locked="0"/>
    </xf>
    <xf numFmtId="2" fontId="3" fillId="0" borderId="15" xfId="5" applyNumberFormat="1" applyFont="1" applyBorder="1" applyAlignment="1" applyProtection="1">
      <alignment horizontal="right" vertical="center" wrapText="1"/>
      <protection locked="0"/>
    </xf>
    <xf numFmtId="0" fontId="3" fillId="0" borderId="15" xfId="5" applyFont="1" applyBorder="1" applyAlignment="1" applyProtection="1">
      <alignment horizontal="right" vertical="center" wrapText="1"/>
      <protection locked="0"/>
    </xf>
    <xf numFmtId="0" fontId="3" fillId="0" borderId="106" xfId="5" applyFont="1" applyBorder="1" applyAlignment="1" applyProtection="1">
      <alignment horizontal="center" vertical="center" wrapText="1"/>
      <protection locked="0"/>
    </xf>
    <xf numFmtId="0" fontId="3" fillId="0" borderId="105" xfId="5" applyFont="1" applyBorder="1" applyAlignment="1" applyProtection="1">
      <alignment horizontal="center" vertical="center" wrapText="1"/>
      <protection locked="0"/>
    </xf>
    <xf numFmtId="0" fontId="3" fillId="0" borderId="107" xfId="5" applyFont="1" applyBorder="1" applyAlignment="1" applyProtection="1">
      <alignment horizontal="center" vertical="center" wrapText="1"/>
      <protection locked="0"/>
    </xf>
    <xf numFmtId="0" fontId="12" fillId="0" borderId="95" xfId="5" applyFont="1" applyBorder="1" applyAlignment="1">
      <alignment horizontal="center" vertical="center" wrapText="1"/>
    </xf>
    <xf numFmtId="0" fontId="12" fillId="0" borderId="98" xfId="5" applyFont="1" applyBorder="1" applyAlignment="1">
      <alignment horizontal="center" vertical="center" wrapText="1"/>
    </xf>
    <xf numFmtId="0" fontId="49" fillId="0" borderId="28" xfId="5" applyFont="1" applyBorder="1" applyAlignment="1">
      <alignment horizontal="left" vertical="center" wrapText="1"/>
    </xf>
    <xf numFmtId="0" fontId="49" fillId="0" borderId="24" xfId="5" applyFont="1" applyBorder="1" applyAlignment="1">
      <alignment horizontal="left" vertical="center" wrapText="1"/>
    </xf>
    <xf numFmtId="0" fontId="49" fillId="0" borderId="31" xfId="5" applyFont="1" applyBorder="1" applyAlignment="1">
      <alignment horizontal="left" vertical="center" wrapText="1"/>
    </xf>
    <xf numFmtId="49" fontId="12" fillId="0" borderId="102" xfId="5" applyNumberFormat="1" applyFont="1" applyBorder="1" applyAlignment="1">
      <alignment horizontal="left" vertical="top" wrapText="1"/>
    </xf>
    <xf numFmtId="49" fontId="12" fillId="0" borderId="95" xfId="5" applyNumberFormat="1" applyFont="1" applyBorder="1" applyAlignment="1">
      <alignment horizontal="left" vertical="top" wrapText="1"/>
    </xf>
    <xf numFmtId="49" fontId="12" fillId="0" borderId="98" xfId="5" applyNumberFormat="1" applyFont="1" applyBorder="1" applyAlignment="1">
      <alignment horizontal="left" vertical="top" wrapText="1"/>
    </xf>
    <xf numFmtId="0" fontId="84" fillId="0" borderId="109" xfId="5" applyFont="1" applyBorder="1" applyAlignment="1">
      <alignment horizontal="center" vertical="center" wrapText="1"/>
    </xf>
    <xf numFmtId="0" fontId="84" fillId="0" borderId="110" xfId="5" applyFont="1" applyBorder="1" applyAlignment="1">
      <alignment horizontal="center" vertical="center" wrapText="1"/>
    </xf>
    <xf numFmtId="0" fontId="84" fillId="0" borderId="112" xfId="5" applyFont="1" applyBorder="1" applyAlignment="1">
      <alignment horizontal="center" vertical="center" wrapText="1"/>
    </xf>
    <xf numFmtId="0" fontId="84" fillId="0" borderId="113" xfId="5" applyFont="1" applyBorder="1" applyAlignment="1">
      <alignment horizontal="center" vertical="center" wrapText="1"/>
    </xf>
    <xf numFmtId="0" fontId="84" fillId="0" borderId="70" xfId="5" applyFont="1" applyBorder="1" applyAlignment="1">
      <alignment horizontal="center" vertical="center" wrapText="1"/>
    </xf>
    <xf numFmtId="0" fontId="84" fillId="0" borderId="10" xfId="5" applyFont="1" applyBorder="1" applyAlignment="1">
      <alignment horizontal="center" vertical="center" wrapText="1"/>
    </xf>
    <xf numFmtId="0" fontId="49" fillId="0" borderId="66" xfId="5" applyFont="1" applyBorder="1" applyAlignment="1">
      <alignment horizontal="center" vertical="center" wrapText="1"/>
    </xf>
    <xf numFmtId="0" fontId="49" fillId="0" borderId="49" xfId="5" applyFont="1" applyBorder="1" applyAlignment="1">
      <alignment horizontal="center" vertical="center" wrapText="1"/>
    </xf>
    <xf numFmtId="14" fontId="12" fillId="0" borderId="49" xfId="5" applyNumberFormat="1" applyFont="1" applyBorder="1" applyAlignment="1">
      <alignment horizontal="center" vertical="center" wrapText="1"/>
    </xf>
    <xf numFmtId="14" fontId="12" fillId="0" borderId="50" xfId="5" applyNumberFormat="1" applyFont="1" applyBorder="1" applyAlignment="1">
      <alignment horizontal="center" vertical="center" wrapText="1"/>
    </xf>
    <xf numFmtId="0" fontId="49" fillId="0" borderId="48" xfId="5" applyFont="1" applyBorder="1" applyAlignment="1">
      <alignment horizontal="center" vertical="center" wrapText="1"/>
    </xf>
    <xf numFmtId="0" fontId="12" fillId="0" borderId="49" xfId="5" applyFont="1" applyBorder="1" applyAlignment="1">
      <alignment horizontal="center" vertical="center" wrapText="1"/>
    </xf>
    <xf numFmtId="0" fontId="12" fillId="0" borderId="50" xfId="5" applyFont="1" applyBorder="1" applyAlignment="1">
      <alignment horizontal="center" vertical="center" wrapText="1"/>
    </xf>
    <xf numFmtId="0" fontId="84" fillId="0" borderId="111" xfId="5" applyFont="1" applyBorder="1" applyAlignment="1">
      <alignment horizontal="center" vertical="center" wrapText="1"/>
    </xf>
    <xf numFmtId="0" fontId="84" fillId="0" borderId="131" xfId="5" applyFont="1" applyBorder="1" applyAlignment="1">
      <alignment horizontal="center" vertical="center" wrapText="1"/>
    </xf>
    <xf numFmtId="0" fontId="84" fillId="0" borderId="132" xfId="5" applyFont="1" applyBorder="1" applyAlignment="1">
      <alignment horizontal="center" vertical="center" wrapText="1"/>
    </xf>
    <xf numFmtId="0" fontId="52" fillId="0" borderId="0" xfId="5" applyFont="1" applyAlignment="1">
      <alignment horizontal="left" vertical="center" wrapText="1" indent="2"/>
    </xf>
    <xf numFmtId="49" fontId="12" fillId="0" borderId="47" xfId="5" applyNumberFormat="1" applyFont="1" applyBorder="1" applyAlignment="1">
      <alignment horizontal="left" vertical="center" wrapText="1"/>
    </xf>
    <xf numFmtId="49" fontId="12" fillId="0" borderId="37" xfId="5" applyNumberFormat="1" applyFont="1" applyBorder="1" applyAlignment="1">
      <alignment horizontal="left" vertical="center" wrapText="1"/>
    </xf>
    <xf numFmtId="0" fontId="49" fillId="0" borderId="20" xfId="5" applyFont="1" applyBorder="1" applyAlignment="1">
      <alignment horizontal="center" vertical="center" wrapText="1"/>
    </xf>
    <xf numFmtId="0" fontId="49" fillId="0" borderId="47" xfId="5" applyFont="1" applyBorder="1" applyAlignment="1">
      <alignment horizontal="center" vertical="center" wrapText="1"/>
    </xf>
    <xf numFmtId="0" fontId="12" fillId="0" borderId="47" xfId="5" applyFont="1" applyBorder="1" applyAlignment="1">
      <alignment horizontal="center" vertical="center" wrapText="1"/>
    </xf>
    <xf numFmtId="0" fontId="12" fillId="0" borderId="53" xfId="5" applyFont="1" applyBorder="1" applyAlignment="1">
      <alignment horizontal="center" vertical="center" wrapText="1"/>
    </xf>
    <xf numFmtId="0" fontId="3" fillId="0" borderId="50" xfId="5" applyBorder="1" applyAlignment="1" applyProtection="1">
      <alignment horizontal="center" vertical="center" wrapText="1"/>
      <protection locked="0"/>
    </xf>
    <xf numFmtId="0" fontId="3" fillId="0" borderId="133" xfId="5" applyBorder="1" applyAlignment="1" applyProtection="1">
      <alignment horizontal="center" vertical="center" wrapText="1"/>
      <protection locked="0"/>
    </xf>
    <xf numFmtId="0" fontId="3" fillId="0" borderId="49" xfId="5" applyBorder="1" applyAlignment="1" applyProtection="1">
      <alignment horizontal="center" vertical="center" wrapText="1"/>
      <protection locked="0"/>
    </xf>
    <xf numFmtId="0" fontId="3" fillId="0" borderId="67" xfId="5" applyBorder="1" applyAlignment="1" applyProtection="1">
      <alignment horizontal="center" vertical="center" wrapText="1"/>
      <protection locked="0"/>
    </xf>
    <xf numFmtId="0" fontId="3" fillId="0" borderId="134" xfId="5" applyBorder="1" applyAlignment="1" applyProtection="1">
      <alignment horizontal="center" vertical="center" wrapText="1"/>
      <protection locked="0"/>
    </xf>
    <xf numFmtId="0" fontId="3" fillId="0" borderId="49" xfId="5" applyFont="1" applyBorder="1" applyAlignment="1" applyProtection="1">
      <alignment horizontal="center" vertical="center" wrapText="1"/>
      <protection locked="0"/>
    </xf>
    <xf numFmtId="0" fontId="3" fillId="0" borderId="67" xfId="5" applyFont="1" applyBorder="1" applyAlignment="1" applyProtection="1">
      <alignment horizontal="center" vertical="center" wrapText="1"/>
      <protection locked="0"/>
    </xf>
    <xf numFmtId="0" fontId="3" fillId="0" borderId="50" xfId="5" applyFont="1" applyBorder="1" applyAlignment="1" applyProtection="1">
      <alignment horizontal="center" vertical="center" wrapText="1"/>
      <protection locked="0"/>
    </xf>
    <xf numFmtId="0" fontId="3" fillId="0" borderId="133" xfId="5" applyFont="1" applyBorder="1" applyAlignment="1" applyProtection="1">
      <alignment horizontal="center" vertical="center" wrapText="1"/>
      <protection locked="0"/>
    </xf>
    <xf numFmtId="0" fontId="84" fillId="0" borderId="68" xfId="5" applyFont="1" applyBorder="1" applyAlignment="1">
      <alignment horizontal="center" vertical="center" wrapText="1"/>
    </xf>
    <xf numFmtId="0" fontId="84" fillId="0" borderId="38" xfId="5" applyFont="1" applyBorder="1" applyAlignment="1">
      <alignment horizontal="center" vertical="center" wrapText="1"/>
    </xf>
    <xf numFmtId="0" fontId="84" fillId="0" borderId="69" xfId="5" applyFont="1" applyBorder="1" applyAlignment="1">
      <alignment horizontal="center" vertical="center" wrapText="1"/>
    </xf>
    <xf numFmtId="0" fontId="59" fillId="0" borderId="24" xfId="5" applyFont="1" applyBorder="1" applyAlignment="1">
      <alignment horizontal="center" vertical="center" wrapText="1"/>
    </xf>
    <xf numFmtId="0" fontId="59" fillId="0" borderId="95" xfId="5" applyFont="1" applyBorder="1" applyAlignment="1">
      <alignment horizontal="center" vertical="center" wrapText="1"/>
    </xf>
    <xf numFmtId="0" fontId="84" fillId="0" borderId="28" xfId="5" applyFont="1" applyBorder="1" applyAlignment="1">
      <alignment horizontal="center" vertical="center" wrapText="1"/>
    </xf>
    <xf numFmtId="0" fontId="84" fillId="0" borderId="24" xfId="5" applyFont="1" applyBorder="1" applyAlignment="1">
      <alignment horizontal="center" vertical="center" wrapText="1"/>
    </xf>
    <xf numFmtId="0" fontId="84" fillId="0" borderId="30" xfId="5" applyFont="1" applyBorder="1" applyAlignment="1">
      <alignment horizontal="center" vertical="center" wrapText="1"/>
    </xf>
    <xf numFmtId="0" fontId="84" fillId="0" borderId="100" xfId="5" applyFont="1" applyBorder="1" applyAlignment="1">
      <alignment horizontal="center" vertical="center" wrapText="1"/>
    </xf>
    <xf numFmtId="0" fontId="84" fillId="0" borderId="0" xfId="5" applyFont="1" applyBorder="1" applyAlignment="1">
      <alignment horizontal="center" vertical="center" wrapText="1"/>
    </xf>
    <xf numFmtId="0" fontId="84" fillId="0" borderId="117" xfId="5" applyFont="1" applyBorder="1" applyAlignment="1">
      <alignment horizontal="center" vertical="center" wrapText="1"/>
    </xf>
    <xf numFmtId="0" fontId="84" fillId="0" borderId="32" xfId="5" applyFont="1" applyBorder="1" applyAlignment="1">
      <alignment horizontal="center" vertical="center" wrapText="1"/>
    </xf>
    <xf numFmtId="0" fontId="84" fillId="0" borderId="8" xfId="5" applyFont="1" applyBorder="1" applyAlignment="1">
      <alignment horizontal="center" vertical="center" wrapText="1"/>
    </xf>
    <xf numFmtId="0" fontId="84" fillId="0" borderId="9" xfId="5" applyFont="1" applyBorder="1" applyAlignment="1">
      <alignment horizontal="center" vertical="center" wrapText="1"/>
    </xf>
    <xf numFmtId="0" fontId="84" fillId="0" borderId="29" xfId="5" applyFont="1" applyBorder="1" applyAlignment="1">
      <alignment horizontal="center" vertical="center" wrapText="1"/>
    </xf>
    <xf numFmtId="0" fontId="84" fillId="0" borderId="31" xfId="5" applyFont="1" applyBorder="1" applyAlignment="1">
      <alignment horizontal="center" vertical="center" wrapText="1"/>
    </xf>
    <xf numFmtId="0" fontId="84" fillId="0" borderId="116" xfId="5" applyFont="1" applyBorder="1" applyAlignment="1">
      <alignment horizontal="center" vertical="center" wrapText="1"/>
    </xf>
    <xf numFmtId="0" fontId="84" fillId="0" borderId="101" xfId="5" applyFont="1" applyBorder="1" applyAlignment="1">
      <alignment horizontal="center" vertical="center" wrapText="1"/>
    </xf>
    <xf numFmtId="0" fontId="84" fillId="0" borderId="7" xfId="5" applyFont="1" applyBorder="1" applyAlignment="1">
      <alignment horizontal="center" vertical="center" wrapText="1"/>
    </xf>
    <xf numFmtId="0" fontId="84" fillId="0" borderId="36" xfId="5" applyFont="1" applyBorder="1" applyAlignment="1">
      <alignment horizontal="center" vertical="center" wrapText="1"/>
    </xf>
  </cellXfs>
  <cellStyles count="153">
    <cellStyle name="20% - Ênfase1 2" xfId="12" xr:uid="{00000000-0005-0000-0000-000000000000}"/>
    <cellStyle name="20% - Ênfase2 2" xfId="13" xr:uid="{00000000-0005-0000-0000-000001000000}"/>
    <cellStyle name="20% - Ênfase3 2" xfId="14" xr:uid="{00000000-0005-0000-0000-000002000000}"/>
    <cellStyle name="20% - Ênfase4 2" xfId="15" xr:uid="{00000000-0005-0000-0000-000003000000}"/>
    <cellStyle name="20% - Ênfase5 2" xfId="16" xr:uid="{00000000-0005-0000-0000-000004000000}"/>
    <cellStyle name="20% - Ênfase6 2" xfId="17" xr:uid="{00000000-0005-0000-0000-000005000000}"/>
    <cellStyle name="40% - Ênfase1 2" xfId="18" xr:uid="{00000000-0005-0000-0000-000006000000}"/>
    <cellStyle name="40% - Ênfase2 2" xfId="19" xr:uid="{00000000-0005-0000-0000-000007000000}"/>
    <cellStyle name="40% - Ênfase3 2" xfId="20" xr:uid="{00000000-0005-0000-0000-000008000000}"/>
    <cellStyle name="40% - Ênfase4 2" xfId="21" xr:uid="{00000000-0005-0000-0000-000009000000}"/>
    <cellStyle name="40% - Ênfase5 2" xfId="22" xr:uid="{00000000-0005-0000-0000-00000A000000}"/>
    <cellStyle name="40% - Ênfase6 2" xfId="23" xr:uid="{00000000-0005-0000-0000-00000B000000}"/>
    <cellStyle name="60% - Ênfase1 2" xfId="24" xr:uid="{00000000-0005-0000-0000-00000C000000}"/>
    <cellStyle name="60% - Ênfase2 2" xfId="25" xr:uid="{00000000-0005-0000-0000-00000D000000}"/>
    <cellStyle name="60% - Ênfase3 2" xfId="26" xr:uid="{00000000-0005-0000-0000-00000E000000}"/>
    <cellStyle name="60% - Ênfase4 2" xfId="27" xr:uid="{00000000-0005-0000-0000-00000F000000}"/>
    <cellStyle name="60% - Ênfase5 2" xfId="28" xr:uid="{00000000-0005-0000-0000-000010000000}"/>
    <cellStyle name="60% - Ênfase6 2" xfId="29" xr:uid="{00000000-0005-0000-0000-000011000000}"/>
    <cellStyle name="Bom 2" xfId="30" xr:uid="{00000000-0005-0000-0000-000012000000}"/>
    <cellStyle name="Cálculo 2" xfId="31" xr:uid="{00000000-0005-0000-0000-000013000000}"/>
    <cellStyle name="Cálculo 2 2" xfId="115" xr:uid="{00000000-0005-0000-0000-000014000000}"/>
    <cellStyle name="Cálculo 2 3" xfId="121" xr:uid="{00000000-0005-0000-0000-000015000000}"/>
    <cellStyle name="Cálculo 2 4" xfId="127" xr:uid="{00000000-0005-0000-0000-000016000000}"/>
    <cellStyle name="Cálculo 2 5" xfId="144" xr:uid="{00000000-0005-0000-0000-000017000000}"/>
    <cellStyle name="Célula de Verificação 2" xfId="32" xr:uid="{00000000-0005-0000-0000-000018000000}"/>
    <cellStyle name="Célula Vinculada 2" xfId="33" xr:uid="{00000000-0005-0000-0000-000019000000}"/>
    <cellStyle name="Ênfase1 2" xfId="34" xr:uid="{00000000-0005-0000-0000-00001A000000}"/>
    <cellStyle name="Ênfase2 2" xfId="35" xr:uid="{00000000-0005-0000-0000-00001B000000}"/>
    <cellStyle name="Ênfase3 2" xfId="36" xr:uid="{00000000-0005-0000-0000-00001C000000}"/>
    <cellStyle name="Ênfase4 2" xfId="37" xr:uid="{00000000-0005-0000-0000-00001D000000}"/>
    <cellStyle name="Ênfase5 2" xfId="38" xr:uid="{00000000-0005-0000-0000-00001E000000}"/>
    <cellStyle name="Ênfase6 2" xfId="39" xr:uid="{00000000-0005-0000-0000-00001F000000}"/>
    <cellStyle name="Entrada 2" xfId="40" xr:uid="{00000000-0005-0000-0000-000020000000}"/>
    <cellStyle name="Entrada 2 2" xfId="117" xr:uid="{00000000-0005-0000-0000-000021000000}"/>
    <cellStyle name="Entrada 2 3" xfId="118" xr:uid="{00000000-0005-0000-0000-000022000000}"/>
    <cellStyle name="Entrada 2 4" xfId="112" xr:uid="{00000000-0005-0000-0000-000023000000}"/>
    <cellStyle name="Entrada 2 5" xfId="145" xr:uid="{00000000-0005-0000-0000-000024000000}"/>
    <cellStyle name="Followed Hyperlink" xfId="41" xr:uid="{00000000-0005-0000-0000-000025000000}"/>
    <cellStyle name="Hiperlink" xfId="4" builtinId="8"/>
    <cellStyle name="Incorreto 2" xfId="42" xr:uid="{00000000-0005-0000-0000-000027000000}"/>
    <cellStyle name="Millares [0]_WDM-1" xfId="43" xr:uid="{00000000-0005-0000-0000-000028000000}"/>
    <cellStyle name="Millares_WDM-1" xfId="44" xr:uid="{00000000-0005-0000-0000-000029000000}"/>
    <cellStyle name="Moeda" xfId="2" builtinId="4"/>
    <cellStyle name="Moeda 2" xfId="45" xr:uid="{00000000-0005-0000-0000-00002B000000}"/>
    <cellStyle name="Moeda 3" xfId="46" xr:uid="{00000000-0005-0000-0000-00002C000000}"/>
    <cellStyle name="Moeda 4" xfId="47" xr:uid="{00000000-0005-0000-0000-00002D000000}"/>
    <cellStyle name="Moeda 5" xfId="100" xr:uid="{00000000-0005-0000-0000-00002E000000}"/>
    <cellStyle name="Moneda [0]_WDM-1" xfId="48" xr:uid="{00000000-0005-0000-0000-00002F000000}"/>
    <cellStyle name="Moneda_WDM-1" xfId="49" xr:uid="{00000000-0005-0000-0000-000030000000}"/>
    <cellStyle name="Neutra 2" xfId="50" xr:uid="{00000000-0005-0000-0000-000031000000}"/>
    <cellStyle name="Normal" xfId="0" builtinId="0"/>
    <cellStyle name="Normal 10" xfId="152" xr:uid="{00000000-0005-0000-0000-000033000000}"/>
    <cellStyle name="Normal 2" xfId="5" xr:uid="{00000000-0005-0000-0000-000034000000}"/>
    <cellStyle name="Normal 2 2" xfId="7" xr:uid="{00000000-0005-0000-0000-000035000000}"/>
    <cellStyle name="Normal 2 2 2" xfId="9" xr:uid="{00000000-0005-0000-0000-000036000000}"/>
    <cellStyle name="Normal 2 2 2 2" xfId="51" xr:uid="{00000000-0005-0000-0000-000037000000}"/>
    <cellStyle name="Normal 2 2 2 3" xfId="122" xr:uid="{00000000-0005-0000-0000-000038000000}"/>
    <cellStyle name="Normal 2 2 2 4" xfId="113" xr:uid="{00000000-0005-0000-0000-000039000000}"/>
    <cellStyle name="Normal 2 2 2 5" xfId="114" xr:uid="{00000000-0005-0000-0000-00003A000000}"/>
    <cellStyle name="Normal 2 2 2 6" xfId="146" xr:uid="{00000000-0005-0000-0000-00003B000000}"/>
    <cellStyle name="Normal 2 2 3" xfId="52" xr:uid="{00000000-0005-0000-0000-00003C000000}"/>
    <cellStyle name="Normal 2 2 4" xfId="53" xr:uid="{00000000-0005-0000-0000-00003D000000}"/>
    <cellStyle name="Normal 2 2 5" xfId="106" xr:uid="{00000000-0005-0000-0000-00003E000000}"/>
    <cellStyle name="Normal 2 2 6" xfId="128" xr:uid="{00000000-0005-0000-0000-00003F000000}"/>
    <cellStyle name="Normal 2 2 7" xfId="136" xr:uid="{00000000-0005-0000-0000-000040000000}"/>
    <cellStyle name="Normal 2 2 8" xfId="142" xr:uid="{00000000-0005-0000-0000-000041000000}"/>
    <cellStyle name="Normal 2 3" xfId="54" xr:uid="{00000000-0005-0000-0000-000042000000}"/>
    <cellStyle name="Normal 2 4" xfId="55" xr:uid="{00000000-0005-0000-0000-000043000000}"/>
    <cellStyle name="Normal 2 4 2" xfId="96" xr:uid="{00000000-0005-0000-0000-000044000000}"/>
    <cellStyle name="Normal 2 5" xfId="104" xr:uid="{00000000-0005-0000-0000-000045000000}"/>
    <cellStyle name="Normal 2 6" xfId="132" xr:uid="{00000000-0005-0000-0000-000046000000}"/>
    <cellStyle name="Normal 2 7" xfId="138" xr:uid="{00000000-0005-0000-0000-000047000000}"/>
    <cellStyle name="Normal 2 8" xfId="140" xr:uid="{00000000-0005-0000-0000-000048000000}"/>
    <cellStyle name="Normal 2_Pasta1" xfId="56" xr:uid="{00000000-0005-0000-0000-000049000000}"/>
    <cellStyle name="Normal 3 2" xfId="8" xr:uid="{00000000-0005-0000-0000-00004A000000}"/>
    <cellStyle name="Normal 3 3" xfId="105" xr:uid="{00000000-0005-0000-0000-00004B000000}"/>
    <cellStyle name="Normal 3 4" xfId="129" xr:uid="{00000000-0005-0000-0000-00004C000000}"/>
    <cellStyle name="Normal 3 5" xfId="137" xr:uid="{00000000-0005-0000-0000-00004D000000}"/>
    <cellStyle name="Normal 3 6" xfId="141" xr:uid="{00000000-0005-0000-0000-00004E000000}"/>
    <cellStyle name="Normal 4" xfId="57" xr:uid="{00000000-0005-0000-0000-00004F000000}"/>
    <cellStyle name="Normal 5" xfId="6" xr:uid="{00000000-0005-0000-0000-000050000000}"/>
    <cellStyle name="Normal 6" xfId="58" xr:uid="{00000000-0005-0000-0000-000051000000}"/>
    <cellStyle name="Normal 7" xfId="99" xr:uid="{00000000-0005-0000-0000-000052000000}"/>
    <cellStyle name="Nota 2" xfId="59" xr:uid="{00000000-0005-0000-0000-000053000000}"/>
    <cellStyle name="Nota 2 2" xfId="123" xr:uid="{00000000-0005-0000-0000-000054000000}"/>
    <cellStyle name="Nota 2 3" xfId="111" xr:uid="{00000000-0005-0000-0000-000055000000}"/>
    <cellStyle name="Nota 2 4" xfId="116" xr:uid="{00000000-0005-0000-0000-000056000000}"/>
    <cellStyle name="Nota 2 5" xfId="147" xr:uid="{00000000-0005-0000-0000-000057000000}"/>
    <cellStyle name="Percentagem 2" xfId="60" xr:uid="{00000000-0005-0000-0000-000058000000}"/>
    <cellStyle name="Porcentagem" xfId="3" builtinId="5"/>
    <cellStyle name="Porcentagem 2" xfId="61" xr:uid="{00000000-0005-0000-0000-00005A000000}"/>
    <cellStyle name="Porcentagem 3" xfId="62" xr:uid="{00000000-0005-0000-0000-00005B000000}"/>
    <cellStyle name="Saída 2" xfId="63" xr:uid="{00000000-0005-0000-0000-00005C000000}"/>
    <cellStyle name="Saída 2 2" xfId="124" xr:uid="{00000000-0005-0000-0000-00005D000000}"/>
    <cellStyle name="Saída 2 3" xfId="110" xr:uid="{00000000-0005-0000-0000-00005E000000}"/>
    <cellStyle name="Saída 2 4" xfId="119" xr:uid="{00000000-0005-0000-0000-00005F000000}"/>
    <cellStyle name="Saída 2 5" xfId="148" xr:uid="{00000000-0005-0000-0000-000060000000}"/>
    <cellStyle name="Separador de milhares 10" xfId="64" xr:uid="{00000000-0005-0000-0000-000061000000}"/>
    <cellStyle name="Separador de milhares 11" xfId="65" xr:uid="{00000000-0005-0000-0000-000062000000}"/>
    <cellStyle name="Separador de milhares 12" xfId="97" xr:uid="{00000000-0005-0000-0000-000063000000}"/>
    <cellStyle name="Separador de milhares 2 2" xfId="11" xr:uid="{00000000-0005-0000-0000-000064000000}"/>
    <cellStyle name="Separador de milhares 2 2 2" xfId="66" xr:uid="{00000000-0005-0000-0000-000065000000}"/>
    <cellStyle name="Separador de milhares 2 2 3" xfId="126" xr:uid="{00000000-0005-0000-0000-000066000000}"/>
    <cellStyle name="Separador de milhares 2 2 4" xfId="109" xr:uid="{00000000-0005-0000-0000-000067000000}"/>
    <cellStyle name="Separador de milhares 2 2 5" xfId="120" xr:uid="{00000000-0005-0000-0000-000068000000}"/>
    <cellStyle name="Separador de milhares 2 2 6" xfId="149" xr:uid="{00000000-0005-0000-0000-000069000000}"/>
    <cellStyle name="Separador de milhares 2 3" xfId="67" xr:uid="{00000000-0005-0000-0000-00006A000000}"/>
    <cellStyle name="Separador de milhares 2 3 2" xfId="10" xr:uid="{00000000-0005-0000-0000-00006B000000}"/>
    <cellStyle name="Separador de milhares 2 3 2 2" xfId="94" xr:uid="{00000000-0005-0000-0000-00006C000000}"/>
    <cellStyle name="Separador de milhares 2 4" xfId="68" xr:uid="{00000000-0005-0000-0000-00006D000000}"/>
    <cellStyle name="Separador de milhares 2 5" xfId="107" xr:uid="{00000000-0005-0000-0000-00006E000000}"/>
    <cellStyle name="Separador de milhares 2 6" xfId="133" xr:uid="{00000000-0005-0000-0000-00006F000000}"/>
    <cellStyle name="Separador de milhares 2 7" xfId="135" xr:uid="{00000000-0005-0000-0000-000070000000}"/>
    <cellStyle name="Separador de milhares 2 8" xfId="143" xr:uid="{00000000-0005-0000-0000-000071000000}"/>
    <cellStyle name="Separador de milhares 3" xfId="69" xr:uid="{00000000-0005-0000-0000-000072000000}"/>
    <cellStyle name="Separador de milhares 4" xfId="70" xr:uid="{00000000-0005-0000-0000-000073000000}"/>
    <cellStyle name="Separador de milhares 4 2" xfId="90" xr:uid="{00000000-0005-0000-0000-000074000000}"/>
    <cellStyle name="Separador de milhares 4 3" xfId="93" xr:uid="{00000000-0005-0000-0000-000075000000}"/>
    <cellStyle name="Separador de milhares 4 4" xfId="95" xr:uid="{00000000-0005-0000-0000-000076000000}"/>
    <cellStyle name="Separador de milhares 4 5" xfId="98" xr:uid="{00000000-0005-0000-0000-000077000000}"/>
    <cellStyle name="Separador de milhares 4 6" xfId="102" xr:uid="{00000000-0005-0000-0000-000078000000}"/>
    <cellStyle name="Separador de milhares 4 7" xfId="103" xr:uid="{00000000-0005-0000-0000-000079000000}"/>
    <cellStyle name="Separador de milhares 5" xfId="71" xr:uid="{00000000-0005-0000-0000-00007A000000}"/>
    <cellStyle name="Separador de milhares 5 2" xfId="91" xr:uid="{00000000-0005-0000-0000-00007B000000}"/>
    <cellStyle name="Separador de milhares 5 3" xfId="92" xr:uid="{00000000-0005-0000-0000-00007C000000}"/>
    <cellStyle name="Separador de milhares 5 4" xfId="101" xr:uid="{00000000-0005-0000-0000-00007D000000}"/>
    <cellStyle name="Separador de milhares 6" xfId="72" xr:uid="{00000000-0005-0000-0000-00007E000000}"/>
    <cellStyle name="Separador de milhares 7" xfId="73" xr:uid="{00000000-0005-0000-0000-00007F000000}"/>
    <cellStyle name="Separador de milhares 8" xfId="74" xr:uid="{00000000-0005-0000-0000-000080000000}"/>
    <cellStyle name="Separador de milhares 9" xfId="75" xr:uid="{00000000-0005-0000-0000-000081000000}"/>
    <cellStyle name="SUBTIT" xfId="76" xr:uid="{00000000-0005-0000-0000-000082000000}"/>
    <cellStyle name="SUBTIT 2" xfId="130" xr:uid="{00000000-0005-0000-0000-000083000000}"/>
    <cellStyle name="SUBTIT 3" xfId="134" xr:uid="{00000000-0005-0000-0000-000084000000}"/>
    <cellStyle name="SUBTIT 4" xfId="108" xr:uid="{00000000-0005-0000-0000-000085000000}"/>
    <cellStyle name="SUBTIT 5" xfId="150" xr:uid="{00000000-0005-0000-0000-000086000000}"/>
    <cellStyle name="Texto de Aviso 2" xfId="77" xr:uid="{00000000-0005-0000-0000-000087000000}"/>
    <cellStyle name="Texto Explicativo 2" xfId="78" xr:uid="{00000000-0005-0000-0000-000088000000}"/>
    <cellStyle name="Título 1 2" xfId="79" xr:uid="{00000000-0005-0000-0000-000089000000}"/>
    <cellStyle name="Título 2 2" xfId="80" xr:uid="{00000000-0005-0000-0000-00008A000000}"/>
    <cellStyle name="Título 3 2" xfId="81" xr:uid="{00000000-0005-0000-0000-00008B000000}"/>
    <cellStyle name="Título 4 2" xfId="82" xr:uid="{00000000-0005-0000-0000-00008C000000}"/>
    <cellStyle name="Título 5" xfId="83" xr:uid="{00000000-0005-0000-0000-00008D000000}"/>
    <cellStyle name="Total 2" xfId="84" xr:uid="{00000000-0005-0000-0000-00008E000000}"/>
    <cellStyle name="Total 2 2" xfId="131" xr:uid="{00000000-0005-0000-0000-00008F000000}"/>
    <cellStyle name="Total 2 3" xfId="139" xr:uid="{00000000-0005-0000-0000-000090000000}"/>
    <cellStyle name="Total 2 4" xfId="125" xr:uid="{00000000-0005-0000-0000-000091000000}"/>
    <cellStyle name="Total 2 5" xfId="151" xr:uid="{00000000-0005-0000-0000-000092000000}"/>
    <cellStyle name="Vírgula" xfId="1" builtinId="3"/>
    <cellStyle name="Vírgula 2" xfId="85" xr:uid="{00000000-0005-0000-0000-000094000000}"/>
    <cellStyle name="Vírgula 2 2" xfId="86" xr:uid="{00000000-0005-0000-0000-000095000000}"/>
    <cellStyle name="Vírgula 3" xfId="87" xr:uid="{00000000-0005-0000-0000-000096000000}"/>
    <cellStyle name="Vírgula 4" xfId="88" xr:uid="{00000000-0005-0000-0000-000097000000}"/>
    <cellStyle name="Vírgula 5" xfId="89" xr:uid="{00000000-0005-0000-0000-00009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heetMetadata" Target="metadata.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9524</xdr:colOff>
      <xdr:row>36</xdr:row>
      <xdr:rowOff>9526</xdr:rowOff>
    </xdr:from>
    <xdr:to>
      <xdr:col>11</xdr:col>
      <xdr:colOff>638175</xdr:colOff>
      <xdr:row>41</xdr:row>
      <xdr:rowOff>371475</xdr:rowOff>
    </xdr:to>
    <xdr:sp macro="" textlink="">
      <xdr:nvSpPr>
        <xdr:cNvPr id="3" name="Retângulo de cantos arredondados 2">
          <a:extLst>
            <a:ext uri="{FF2B5EF4-FFF2-40B4-BE49-F238E27FC236}">
              <a16:creationId xmlns:a16="http://schemas.microsoft.com/office/drawing/2014/main" id="{00000000-0008-0000-0000-000003000000}"/>
            </a:ext>
          </a:extLst>
        </xdr:cNvPr>
        <xdr:cNvSpPr/>
      </xdr:nvSpPr>
      <xdr:spPr>
        <a:xfrm>
          <a:off x="190499" y="8220076"/>
          <a:ext cx="6457951" cy="16287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1</xdr:col>
      <xdr:colOff>9526</xdr:colOff>
      <xdr:row>43</xdr:row>
      <xdr:rowOff>9525</xdr:rowOff>
    </xdr:from>
    <xdr:to>
      <xdr:col>5</xdr:col>
      <xdr:colOff>638176</xdr:colOff>
      <xdr:row>44</xdr:row>
      <xdr:rowOff>495300</xdr:rowOff>
    </xdr:to>
    <xdr:sp macro="" textlink="">
      <xdr:nvSpPr>
        <xdr:cNvPr id="4" name="Retângulo de cantos arredondados 3">
          <a:extLst>
            <a:ext uri="{FF2B5EF4-FFF2-40B4-BE49-F238E27FC236}">
              <a16:creationId xmlns:a16="http://schemas.microsoft.com/office/drawing/2014/main" id="{00000000-0008-0000-0000-000004000000}"/>
            </a:ext>
          </a:extLst>
        </xdr:cNvPr>
        <xdr:cNvSpPr/>
      </xdr:nvSpPr>
      <xdr:spPr>
        <a:xfrm>
          <a:off x="190501" y="10248900"/>
          <a:ext cx="3219450" cy="8001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7</xdr:col>
      <xdr:colOff>9525</xdr:colOff>
      <xdr:row>43</xdr:row>
      <xdr:rowOff>9525</xdr:rowOff>
    </xdr:from>
    <xdr:to>
      <xdr:col>11</xdr:col>
      <xdr:colOff>638175</xdr:colOff>
      <xdr:row>44</xdr:row>
      <xdr:rowOff>495300</xdr:rowOff>
    </xdr:to>
    <xdr:sp macro="" textlink="">
      <xdr:nvSpPr>
        <xdr:cNvPr id="5" name="Retângulo de cantos arredondados 4">
          <a:extLst>
            <a:ext uri="{FF2B5EF4-FFF2-40B4-BE49-F238E27FC236}">
              <a16:creationId xmlns:a16="http://schemas.microsoft.com/office/drawing/2014/main" id="{00000000-0008-0000-0000-000005000000}"/>
            </a:ext>
          </a:extLst>
        </xdr:cNvPr>
        <xdr:cNvSpPr/>
      </xdr:nvSpPr>
      <xdr:spPr>
        <a:xfrm>
          <a:off x="3429000" y="10248900"/>
          <a:ext cx="3219450" cy="8001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editAs="oneCell">
    <xdr:from>
      <xdr:col>8</xdr:col>
      <xdr:colOff>495300</xdr:colOff>
      <xdr:row>1</xdr:row>
      <xdr:rowOff>0</xdr:rowOff>
    </xdr:from>
    <xdr:to>
      <xdr:col>11</xdr:col>
      <xdr:colOff>641193</xdr:colOff>
      <xdr:row>4</xdr:row>
      <xdr:rowOff>180975</xdr:rowOff>
    </xdr:to>
    <xdr:pic>
      <xdr:nvPicPr>
        <xdr:cNvPr id="6" name="Imagem 5" descr="Logomarca-Prefeitura-Colorida-e1597408246789 (1).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t="2939" b="7900"/>
        <a:stretch>
          <a:fillRect/>
        </a:stretch>
      </xdr:blipFill>
      <xdr:spPr>
        <a:xfrm>
          <a:off x="4665133" y="95250"/>
          <a:ext cx="2082643" cy="752475"/>
        </a:xfrm>
        <a:prstGeom prst="rect">
          <a:avLst/>
        </a:prstGeom>
      </xdr:spPr>
    </xdr:pic>
    <xdr:clientData/>
  </xdr:twoCellAnchor>
  <xdr:twoCellAnchor>
    <xdr:from>
      <xdr:col>1</xdr:col>
      <xdr:colOff>9524</xdr:colOff>
      <xdr:row>29</xdr:row>
      <xdr:rowOff>9526</xdr:rowOff>
    </xdr:from>
    <xdr:to>
      <xdr:col>11</xdr:col>
      <xdr:colOff>638175</xdr:colOff>
      <xdr:row>34</xdr:row>
      <xdr:rowOff>371475</xdr:rowOff>
    </xdr:to>
    <xdr:sp macro="" textlink="">
      <xdr:nvSpPr>
        <xdr:cNvPr id="8" name="Retângulo de cantos arredondados 7">
          <a:extLst>
            <a:ext uri="{FF2B5EF4-FFF2-40B4-BE49-F238E27FC236}">
              <a16:creationId xmlns:a16="http://schemas.microsoft.com/office/drawing/2014/main" id="{00000000-0008-0000-0000-000008000000}"/>
            </a:ext>
          </a:extLst>
        </xdr:cNvPr>
        <xdr:cNvSpPr/>
      </xdr:nvSpPr>
      <xdr:spPr>
        <a:xfrm>
          <a:off x="123824" y="8543926"/>
          <a:ext cx="6638926" cy="16287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editAs="oneCell">
    <xdr:from>
      <xdr:col>1</xdr:col>
      <xdr:colOff>338667</xdr:colOff>
      <xdr:row>1</xdr:row>
      <xdr:rowOff>0</xdr:rowOff>
    </xdr:from>
    <xdr:to>
      <xdr:col>3</xdr:col>
      <xdr:colOff>35719</xdr:colOff>
      <xdr:row>4</xdr:row>
      <xdr:rowOff>35720</xdr:rowOff>
    </xdr:to>
    <xdr:pic>
      <xdr:nvPicPr>
        <xdr:cNvPr id="7" name="Picture 2" descr="Forma&#10;&#10;Descrição gerada automaticamente">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55084" y="95250"/>
          <a:ext cx="988218" cy="6072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xdr:colOff>
      <xdr:row>1</xdr:row>
      <xdr:rowOff>4762</xdr:rowOff>
    </xdr:from>
    <xdr:to>
      <xdr:col>3</xdr:col>
      <xdr:colOff>894572</xdr:colOff>
      <xdr:row>2</xdr:row>
      <xdr:rowOff>379762</xdr:rowOff>
    </xdr:to>
    <xdr:sp macro="" textlink="">
      <xdr:nvSpPr>
        <xdr:cNvPr id="4" name="Retângulo 3">
          <a:extLst>
            <a:ext uri="{FF2B5EF4-FFF2-40B4-BE49-F238E27FC236}">
              <a16:creationId xmlns:a16="http://schemas.microsoft.com/office/drawing/2014/main" id="{00000000-0008-0000-0100-000004000000}"/>
            </a:ext>
          </a:extLst>
        </xdr:cNvPr>
        <xdr:cNvSpPr/>
      </xdr:nvSpPr>
      <xdr:spPr>
        <a:xfrm>
          <a:off x="119522" y="100012"/>
          <a:ext cx="2525269" cy="7560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200" b="1" i="1">
            <a:solidFill>
              <a:schemeClr val="bg1">
                <a:lumMod val="50000"/>
              </a:schemeClr>
            </a:solidFill>
          </a:endParaRPr>
        </a:p>
      </xdr:txBody>
    </xdr:sp>
    <xdr:clientData/>
  </xdr:twoCellAnchor>
  <xdr:twoCellAnchor editAs="oneCell">
    <xdr:from>
      <xdr:col>7</xdr:col>
      <xdr:colOff>190496</xdr:colOff>
      <xdr:row>1</xdr:row>
      <xdr:rowOff>0</xdr:rowOff>
    </xdr:from>
    <xdr:to>
      <xdr:col>8</xdr:col>
      <xdr:colOff>800568</xdr:colOff>
      <xdr:row>2</xdr:row>
      <xdr:rowOff>378600</xdr:rowOff>
    </xdr:to>
    <xdr:pic>
      <xdr:nvPicPr>
        <xdr:cNvPr id="3" name="Imagem 2" descr="Logomarca-Prefeitura-Colorida-e1597408246789 (1).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t="4021" b="8847"/>
        <a:stretch>
          <a:fillRect/>
        </a:stretch>
      </xdr:blipFill>
      <xdr:spPr>
        <a:xfrm>
          <a:off x="11037090" y="95250"/>
          <a:ext cx="2157884" cy="759600"/>
        </a:xfrm>
        <a:prstGeom prst="rect">
          <a:avLst/>
        </a:prstGeom>
      </xdr:spPr>
    </xdr:pic>
    <xdr:clientData/>
  </xdr:twoCellAnchor>
  <xdr:twoCellAnchor editAs="oneCell">
    <xdr:from>
      <xdr:col>1</xdr:col>
      <xdr:colOff>595313</xdr:colOff>
      <xdr:row>1</xdr:row>
      <xdr:rowOff>95250</xdr:rowOff>
    </xdr:from>
    <xdr:to>
      <xdr:col>2</xdr:col>
      <xdr:colOff>797719</xdr:colOff>
      <xdr:row>2</xdr:row>
      <xdr:rowOff>321470</xdr:rowOff>
    </xdr:to>
    <xdr:pic>
      <xdr:nvPicPr>
        <xdr:cNvPr id="5" name="Picture 2" descr="Forma&#10;&#10;Descrição gerada automaticamente">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14376" y="190500"/>
          <a:ext cx="988218" cy="6072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0</xdr:row>
      <xdr:rowOff>95249</xdr:rowOff>
    </xdr:from>
    <xdr:to>
      <xdr:col>2</xdr:col>
      <xdr:colOff>1603218</xdr:colOff>
      <xdr:row>2</xdr:row>
      <xdr:rowOff>378599</xdr:rowOff>
    </xdr:to>
    <xdr:sp macro="" textlink="">
      <xdr:nvSpPr>
        <xdr:cNvPr id="11" name="Retângulo 10">
          <a:extLst>
            <a:ext uri="{FF2B5EF4-FFF2-40B4-BE49-F238E27FC236}">
              <a16:creationId xmlns:a16="http://schemas.microsoft.com/office/drawing/2014/main" id="{00000000-0008-0000-0200-00000B000000}"/>
            </a:ext>
          </a:extLst>
        </xdr:cNvPr>
        <xdr:cNvSpPr/>
      </xdr:nvSpPr>
      <xdr:spPr>
        <a:xfrm>
          <a:off x="119062" y="95249"/>
          <a:ext cx="2520000" cy="7596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200" b="1" i="1">
            <a:solidFill>
              <a:schemeClr val="bg1">
                <a:lumMod val="50000"/>
              </a:schemeClr>
            </a:solidFill>
          </a:endParaRPr>
        </a:p>
      </xdr:txBody>
    </xdr:sp>
    <xdr:clientData/>
  </xdr:twoCellAnchor>
  <xdr:twoCellAnchor editAs="oneCell">
    <xdr:from>
      <xdr:col>11</xdr:col>
      <xdr:colOff>261932</xdr:colOff>
      <xdr:row>1</xdr:row>
      <xdr:rowOff>0</xdr:rowOff>
    </xdr:from>
    <xdr:to>
      <xdr:col>13</xdr:col>
      <xdr:colOff>288597</xdr:colOff>
      <xdr:row>2</xdr:row>
      <xdr:rowOff>378600</xdr:rowOff>
    </xdr:to>
    <xdr:pic>
      <xdr:nvPicPr>
        <xdr:cNvPr id="14" name="Imagem 13" descr="Logomarca-Prefeitura-Colorida-e1597408246789 (1).png">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t="4021" b="8847"/>
        <a:stretch>
          <a:fillRect/>
        </a:stretch>
      </xdr:blipFill>
      <xdr:spPr>
        <a:xfrm>
          <a:off x="12703963" y="95250"/>
          <a:ext cx="2157884" cy="759600"/>
        </a:xfrm>
        <a:prstGeom prst="rect">
          <a:avLst/>
        </a:prstGeom>
      </xdr:spPr>
    </xdr:pic>
    <xdr:clientData/>
  </xdr:twoCellAnchor>
  <xdr:twoCellAnchor editAs="oneCell">
    <xdr:from>
      <xdr:col>1</xdr:col>
      <xdr:colOff>452438</xdr:colOff>
      <xdr:row>1</xdr:row>
      <xdr:rowOff>95249</xdr:rowOff>
    </xdr:from>
    <xdr:to>
      <xdr:col>2</xdr:col>
      <xdr:colOff>523875</xdr:colOff>
      <xdr:row>2</xdr:row>
      <xdr:rowOff>321469</xdr:rowOff>
    </xdr:to>
    <xdr:pic>
      <xdr:nvPicPr>
        <xdr:cNvPr id="4" name="Picture 2" descr="Forma&#10;&#10;Descrição gerada automaticamente">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571501" y="190499"/>
          <a:ext cx="988218" cy="60722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178628</xdr:colOff>
      <xdr:row>1</xdr:row>
      <xdr:rowOff>1</xdr:rowOff>
    </xdr:from>
    <xdr:to>
      <xdr:col>16</xdr:col>
      <xdr:colOff>2887</xdr:colOff>
      <xdr:row>1</xdr:row>
      <xdr:rowOff>759601</xdr:rowOff>
    </xdr:to>
    <xdr:pic>
      <xdr:nvPicPr>
        <xdr:cNvPr id="7" name="Imagem 6" descr="Logomarca-Prefeitura-Colorida-e1597408246789 (1).pn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t="4021" b="8847"/>
        <a:stretch>
          <a:fillRect/>
        </a:stretch>
      </xdr:blipFill>
      <xdr:spPr>
        <a:xfrm>
          <a:off x="6115878" y="95251"/>
          <a:ext cx="2152592" cy="75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304799</xdr:colOff>
      <xdr:row>1</xdr:row>
      <xdr:rowOff>66677</xdr:rowOff>
    </xdr:from>
    <xdr:to>
      <xdr:col>14</xdr:col>
      <xdr:colOff>507711</xdr:colOff>
      <xdr:row>1</xdr:row>
      <xdr:rowOff>723900</xdr:rowOff>
    </xdr:to>
    <xdr:pic>
      <xdr:nvPicPr>
        <xdr:cNvPr id="91" name="Imagem 90" descr="Logomarca-Prefeitura-Colorida-e1597408246789 (1).png">
          <a:extLst>
            <a:ext uri="{FF2B5EF4-FFF2-40B4-BE49-F238E27FC236}">
              <a16:creationId xmlns:a16="http://schemas.microsoft.com/office/drawing/2014/main" id="{00000000-0008-0000-0400-00005B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t="4021" b="8847"/>
        <a:stretch>
          <a:fillRect/>
        </a:stretch>
      </xdr:blipFill>
      <xdr:spPr>
        <a:xfrm>
          <a:off x="6229349" y="152402"/>
          <a:ext cx="1945987" cy="6572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oagc-fls005.agnet.local\grupos\PROPOSTAS%202000\077-%20Aracruz%20-%20Casa%20de%20For&#231;a\DOCUMENTOS%20MHI\BQ%20List..9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cifegalvaoeng\concorrencia\&#211;rg&#227;os%20&amp;%20Concorr&#234;ncias\Dnit\Editais\CC%20181%2003%2003\Projeto%20BR222%20CE%20Ed.%20181%2003%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eus%20Documentos\GALV&#195;O%20ENGENHARIA\ESTUDOS\ANEL%20VI&#193;RIO\P&amp;O%20-%20Estudo%20Preliminar\Vers&#227;o%2010-02-09\MAR&#199;O-08\Composi&#231;&#245;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COMPAQ\Meus%20documentos\GALV&#195;O%20ENGENHARIA\GURJA&#218;\Concorr&#234;ncia\PLANILHA%20DE%20FECHAMENTO%20E%20APRESENTA&#199;&#195;O%20-%2015-09-06%20-%20TESTE%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idor\Arq_Tec\Supervis&#227;o\BR-101(Ribeir&#227;o-Palmares)\Projeto%20PG-140-01\Proj.Executivo(Junho-04)\01-ULTIMA%20VERSAO-(Setembro04)-Proj.Aprovado\Pre&#231;os%20Revisados-OAE-SEPLAN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nzipped\Tomada%20de%20Pre&#231;os%20BR222\WINDOWS\TEMP\WINDOWS\Desktop\Obras%20diversas\Leopoldina\Or&#231;amentos\Orc%20381\Orc%20Trevo%20Takono\OR96088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nbh\Concorrencias\Clientes%20Privados\Suzano\Estrada%20do%20Mar\PGR\PGR%20Estrada%20do%20Mar%20-%20Lot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Emergencias%2015%20UNIT%202006\BR%20226.MA%20Lote%202\Ob158\Pato\WINDOWS\TEMP\WINDOWS\Desktop\Obras%20diversas\Leopoldina\Or&#231;amentos\Orc%20381\Orc%20Trevo%20Takono\OR96088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idor\rede%20ruppel\REDE%20RUPPEL\-ENGEPAR\AHE_Espora\ORCAMENTO\Fechamento%20e%20Indireto\ENG_ESP_FECHAM_INDIR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seplane\Meus%20documentos\Reflexo%20Aditivo%20%20Duplicaca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ERT\SYS\WINDOWS\CARMA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ATO%20-%20BR%20-%20425%20aditiv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WINDOWS\TEMP\WINDOWS\TEMP\Meus%20Documentos\Ger&#234;ncia\Ic&#243;\Pato%20BR%20116%20Ic&#243;%20(%20licita&#231;&#227;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C%20arlos%20%20Machado\My%20Documents\Disco%201\BR-262-MS(3)\Anexos%20PGQ.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IDOR\Arq_Tec\Projetos%20em%20Andamento\N039(PROMATA_Camutanga)\Projetistas_Parceiros\Socorro\orca-feira%20Camutang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1%201%20Medi&#231;&#227;o%2024_setembro2016\Medi&#231;&#227;o%2017_mar&#231;o2016\Galv&#227;o%20med%2017\MEDI&#199;&#213;ES%20CAMAR&#213;ES\OBRA\Medi&#231;&#227;o%2013_dezembro2015\MEDI&#199;&#195;O%201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eduar\OneDrive\&#193;rea%20de%20Trabalho\RESTAURARE\MUSEU%20SANTA%20LUZIA\MEDI&#199;&#213;ES,%20RELAT&#211;RIOS,%20ENSAIOS\MEDI&#199;&#213;ES\MEDI&#199;&#195;O%202\MEDI&#199;&#195;O%2002%20_%20MUSEU%20AUR&#201;LIO%20DOLABELL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eduar\OneDrive\&#193;rea%20de%20Trabalho\RESTAURARE\MUSEU%20SANTA%20LUZIA\MEDI&#199;&#213;ES,%20RELAT&#211;RIOS,%20ENSAIOS\MEDI&#199;&#213;ES\MEDI&#199;&#195;O%208\MEDI&#199;&#195;O%2008%20_%20MUSEU%20AUR&#201;LIO%20DOLABELL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eduar\OneDrive\&#193;rea%20de%20Trabalho\RESTAURARE\MUSEU%20SANTA%20LUZIA\MEDI&#199;&#213;ES,%20RELAT&#211;RIOS,%20ENSAIOS\MEDI&#199;&#213;ES\MEDI&#199;&#195;O%205\MEDI&#199;&#195;O%2005%20_%20MUSEU%20AUR&#201;LIO%20DOLABELL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eduar\OneDrive\&#193;rea%20de%20Trabalho\RESTAURARE\MUSEU%20SANTA%20LUZIA\MEDI&#199;&#213;ES,%20RELAT&#211;RIOS,%20ENSAIOS\MEDI&#199;&#213;ES\MEDI&#199;&#195;O%209\MEDI&#199;&#195;O%2009%20_%20MUSEU%20AUR&#201;LIO%20DOLABELLA%20APROVA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TEMP\WINDOWS\TEMP\WINDOWS\TEMP\Calc.Medi&#231;&#227;o%20BR-010%20PD-15-01011-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eus%20documentos\DNIT\Aterpa\PD%2015.998.01\WINDOWS\Desktop\Obras%20diversas\Leopoldina\Or&#231;amentos\Orc%20381\Orc%20Trevo%20Takono\OR96088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_1\tec1\ARQ\SOLOTEC\BR-476\VIGA\ANALIS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eus%20documentos\Proposta\Crema\Ma\Dimensiona%20equipa%20lote%20PA_01%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Land%20Projects%202006\Crateus%20II\Volume%2004%20-%20Or&#231;amento%20e%20Plano%20de%20Execu&#231;&#227;o\Composi&#231;&#245;es%20CRATE&#218;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mail7.uol.com.br/WINDOWS/Temporary%20Internet%20Files/Content.IE5/Y18RY9Q5/Meus%20documentos/Gerencia%20Obra/DNER/Ic&#243;/Pato%20BR%20116%20Ic&#243;%20para%20licitaca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Eng\Tecon%20I\Etapa%202\Pre&#231;os\fechamento%20Fase%20I%20+%20II%20-%20com%20desco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ection"/>
      <sheetName val="BQ List..95"/>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
      <sheetName val="Res"/>
      <sheetName val="Plan"/>
      <sheetName val="Cr"/>
      <sheetName val="Esc"/>
      <sheetName val="BDI"/>
      <sheetName val="LS"/>
      <sheetName val="rmorca"/>
      <sheetName val="164"/>
      <sheetName val="270"/>
      <sheetName val="Banco de Dados"/>
      <sheetName val="CS#"/>
      <sheetName val="Alteração"/>
    </sheetNames>
    <sheetDataSet>
      <sheetData sheetId="0" refreshError="1"/>
      <sheetData sheetId="1" refreshError="1"/>
      <sheetData sheetId="2" refreshError="1">
        <row r="49">
          <cell r="D49" t="str">
            <v>0181/03-03</v>
          </cell>
        </row>
        <row r="50">
          <cell r="D50" t="str">
            <v>BR-222 / CE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básicas"/>
      <sheetName val="Mobilização"/>
      <sheetName val="Aquisição&amp;Transporte"/>
      <sheetName val="pavimentação"/>
      <sheetName val="terraplenagem"/>
      <sheetName val="drenagem"/>
      <sheetName val="OAC"/>
      <sheetName val="sinalização"/>
      <sheetName val="MeioAmbiente"/>
      <sheetName val="ObrasComplem"/>
      <sheetName val="Banco de Dados"/>
    </sheetNames>
    <sheetDataSet>
      <sheetData sheetId="0"/>
      <sheetData sheetId="1"/>
      <sheetData sheetId="2"/>
      <sheetData sheetId="3"/>
      <sheetData sheetId="4"/>
      <sheetData sheetId="5"/>
      <sheetData sheetId="6"/>
      <sheetData sheetId="7"/>
      <sheetData sheetId="8"/>
      <sheetData sheetId="9"/>
      <sheetData sheetId="10">
        <row r="1">
          <cell r="G1" t="str">
            <v>Custo Unitário Equipamentos</v>
          </cell>
        </row>
        <row r="3">
          <cell r="F3" t="str">
            <v>Código</v>
          </cell>
          <cell r="G3" t="str">
            <v>Equipamento</v>
          </cell>
          <cell r="H3" t="str">
            <v>Improdutivo</v>
          </cell>
          <cell r="I3" t="str">
            <v>Operativo</v>
          </cell>
        </row>
        <row r="4">
          <cell r="F4" t="str">
            <v>E001</v>
          </cell>
          <cell r="G4" t="str">
            <v>Trator de Esteiras - com lâmina</v>
          </cell>
          <cell r="H4">
            <v>13.680899999999999</v>
          </cell>
          <cell r="I4">
            <v>97.668099999999995</v>
          </cell>
        </row>
        <row r="5">
          <cell r="F5" t="str">
            <v>E002</v>
          </cell>
          <cell r="G5" t="str">
            <v xml:space="preserve"> Trator de Esteiras : Caterpillar : D6M - com lâmina</v>
          </cell>
          <cell r="H5">
            <v>13.680899999999999</v>
          </cell>
          <cell r="I5">
            <v>172.8535</v>
          </cell>
        </row>
        <row r="6">
          <cell r="F6" t="str">
            <v>E003</v>
          </cell>
          <cell r="G6" t="str">
            <v xml:space="preserve"> Trator de Esteiras - com lâmina</v>
          </cell>
          <cell r="H6">
            <v>13.680899999999999</v>
          </cell>
          <cell r="I6">
            <v>301.35390000000001</v>
          </cell>
        </row>
        <row r="7">
          <cell r="F7" t="str">
            <v>E005</v>
          </cell>
          <cell r="G7" t="str">
            <v xml:space="preserve"> Motoscraper</v>
          </cell>
          <cell r="H7">
            <v>13.680899999999999</v>
          </cell>
          <cell r="I7">
            <v>291.08679999999998</v>
          </cell>
        </row>
        <row r="8">
          <cell r="F8" t="str">
            <v>E006</v>
          </cell>
          <cell r="G8" t="str">
            <v xml:space="preserve"> Motoniveladora</v>
          </cell>
          <cell r="H8">
            <v>13.680899999999999</v>
          </cell>
          <cell r="I8">
            <v>115.6409</v>
          </cell>
        </row>
        <row r="9">
          <cell r="F9" t="str">
            <v>E007</v>
          </cell>
          <cell r="G9" t="str">
            <v xml:space="preserve"> Trator Agrícola</v>
          </cell>
          <cell r="H9">
            <v>10.553800000000001</v>
          </cell>
          <cell r="I9">
            <v>56.889800000000001</v>
          </cell>
        </row>
        <row r="10">
          <cell r="F10" t="str">
            <v>E009</v>
          </cell>
          <cell r="G10" t="str">
            <v xml:space="preserve"> Carregadeira de Pneus : Caterpillar : 924G - 1,80 m3</v>
          </cell>
          <cell r="H10">
            <v>13.680899999999999</v>
          </cell>
          <cell r="I10">
            <v>100.4329</v>
          </cell>
        </row>
        <row r="11">
          <cell r="F11" t="str">
            <v>E010</v>
          </cell>
          <cell r="G11" t="str">
            <v xml:space="preserve"> Carregadeira de Pneus - 3,3 m3 </v>
          </cell>
          <cell r="H11">
            <v>13.680899999999999</v>
          </cell>
          <cell r="I11">
            <v>164.91390000000001</v>
          </cell>
        </row>
        <row r="12">
          <cell r="F12" t="str">
            <v>E011</v>
          </cell>
          <cell r="G12" t="str">
            <v xml:space="preserve"> Retroescavadeira : Massey Ferguson : MF-86HF - de pneus</v>
          </cell>
          <cell r="H12">
            <v>13.680899999999999</v>
          </cell>
          <cell r="I12">
            <v>63.698900000000002</v>
          </cell>
        </row>
        <row r="13">
          <cell r="F13" t="str">
            <v>E013</v>
          </cell>
          <cell r="G13" t="str">
            <v xml:space="preserve"> Rolo Compactador - pé de carneiro autop. 11,25t vibrat </v>
          </cell>
          <cell r="H13">
            <v>10.553800000000001</v>
          </cell>
          <cell r="I13">
            <v>120.1957</v>
          </cell>
        </row>
        <row r="14">
          <cell r="F14" t="str">
            <v>E014</v>
          </cell>
          <cell r="G14" t="str">
            <v xml:space="preserve"> Trator de Esteiras - com escarificador</v>
          </cell>
          <cell r="H14">
            <v>13.680899999999999</v>
          </cell>
          <cell r="I14">
            <v>298.5188</v>
          </cell>
        </row>
        <row r="15">
          <cell r="F15" t="str">
            <v>E015</v>
          </cell>
          <cell r="G15" t="str">
            <v xml:space="preserve"> Motoniveladora : Caterpillar : 140M</v>
          </cell>
          <cell r="H15">
            <v>13.680899999999999</v>
          </cell>
          <cell r="I15">
            <v>178.67009999999999</v>
          </cell>
        </row>
        <row r="16">
          <cell r="F16" t="str">
            <v>E016</v>
          </cell>
          <cell r="G16" t="str">
            <v xml:space="preserve"> Carregadeira de Pneus - 1,70 m3</v>
          </cell>
          <cell r="H16">
            <v>13.680899999999999</v>
          </cell>
          <cell r="I16">
            <v>89.216800000000006</v>
          </cell>
        </row>
        <row r="17">
          <cell r="F17" t="str">
            <v>E055</v>
          </cell>
          <cell r="G17" t="str">
            <v xml:space="preserve"> Rolo Compactador : Caterpillar : CS423E - pé de carneiro vibratório </v>
          </cell>
          <cell r="H17">
            <v>10.553800000000001</v>
          </cell>
          <cell r="I17">
            <v>66.988200000000006</v>
          </cell>
        </row>
        <row r="18">
          <cell r="F18" t="str">
            <v>E056</v>
          </cell>
          <cell r="G18" t="str">
            <v xml:space="preserve"> Rolo Compactador : Dynapac : CT-262 - pé de carneiro tamping </v>
          </cell>
          <cell r="H18">
            <v>10.553800000000001</v>
          </cell>
          <cell r="I18">
            <v>221.43799999999999</v>
          </cell>
        </row>
        <row r="19">
          <cell r="F19" t="str">
            <v>E062</v>
          </cell>
          <cell r="G19" t="str">
            <v xml:space="preserve"> Escavadeira Hidráulica : Caterpillar : 330DL - com esteira</v>
          </cell>
          <cell r="H19">
            <v>14.4626</v>
          </cell>
          <cell r="I19">
            <v>264.1825</v>
          </cell>
        </row>
        <row r="20">
          <cell r="F20" t="str">
            <v>E063</v>
          </cell>
          <cell r="G20" t="str">
            <v xml:space="preserve"> Escavadeira Hidráulica : Caterpillar : 320DL - c/ est. – cap 600l p/ longo alcance </v>
          </cell>
          <cell r="H20">
            <v>14.4626</v>
          </cell>
          <cell r="I20">
            <v>159.20249999999999</v>
          </cell>
        </row>
        <row r="21">
          <cell r="F21" t="str">
            <v>E065</v>
          </cell>
          <cell r="G21" t="str">
            <v xml:space="preserve"> Draga de Sucção : diversos : - p/ extração de Areia 6"</v>
          </cell>
          <cell r="H21">
            <v>0</v>
          </cell>
          <cell r="I21">
            <v>63.951599999999999</v>
          </cell>
        </row>
        <row r="22">
          <cell r="F22" t="str">
            <v>E066</v>
          </cell>
          <cell r="G22" t="str">
            <v xml:space="preserve"> Chata - 25m3 : diversos : - com rebocador </v>
          </cell>
          <cell r="H22">
            <v>13.29</v>
          </cell>
          <cell r="I22">
            <v>103.47580000000001</v>
          </cell>
        </row>
        <row r="23">
          <cell r="F23" t="str">
            <v>E101</v>
          </cell>
          <cell r="G23" t="str">
            <v xml:space="preserve"> Grade de Discos - GA 24 x 24</v>
          </cell>
          <cell r="H23">
            <v>0</v>
          </cell>
          <cell r="I23">
            <v>2.0661999999999998</v>
          </cell>
        </row>
        <row r="24">
          <cell r="F24" t="str">
            <v>E102</v>
          </cell>
          <cell r="G24" t="str">
            <v xml:space="preserve"> Rolo Compactador - Tanden vibrat.autoprop. 10,9 t </v>
          </cell>
          <cell r="H24">
            <v>10.553800000000001</v>
          </cell>
          <cell r="I24">
            <v>118.5701</v>
          </cell>
        </row>
        <row r="25">
          <cell r="F25" t="str">
            <v>E103</v>
          </cell>
          <cell r="G25" t="str">
            <v xml:space="preserve"> Rolo Compactador : Caterpillar : CS-563 E - liso, vibrat autoprop. 11,6 t</v>
          </cell>
          <cell r="H25">
            <v>10.553800000000001</v>
          </cell>
          <cell r="I25">
            <v>108.485</v>
          </cell>
        </row>
        <row r="26">
          <cell r="F26" t="str">
            <v>E104</v>
          </cell>
          <cell r="G26" t="str">
            <v xml:space="preserve"> Rolo Compactador : Dynapac : CC-222 - liso, tanden vibrat. autoprop. 7,2t </v>
          </cell>
          <cell r="H26">
            <v>10.553800000000001</v>
          </cell>
          <cell r="I26">
            <v>95.345200000000006</v>
          </cell>
        </row>
        <row r="27">
          <cell r="F27" t="str">
            <v>E105</v>
          </cell>
          <cell r="G27" t="str">
            <v xml:space="preserve"> Rolo Compactador - de pneus autoprop. 25 t </v>
          </cell>
          <cell r="H27">
            <v>10.553800000000001</v>
          </cell>
          <cell r="I27">
            <v>98.068700000000007</v>
          </cell>
        </row>
        <row r="28">
          <cell r="F28" t="str">
            <v>E106</v>
          </cell>
          <cell r="G28" t="str">
            <v xml:space="preserve"> Usina Misturadora - de solos 350 / 600 t/h</v>
          </cell>
          <cell r="H28">
            <v>14.4626</v>
          </cell>
          <cell r="I28">
            <v>79.605500000000006</v>
          </cell>
        </row>
        <row r="29">
          <cell r="F29" t="str">
            <v>E107</v>
          </cell>
          <cell r="G29" t="str">
            <v xml:space="preserve"> Vassoura Mecânica - rebocável </v>
          </cell>
          <cell r="H29">
            <v>0</v>
          </cell>
          <cell r="I29">
            <v>3.681</v>
          </cell>
        </row>
        <row r="30">
          <cell r="F30" t="str">
            <v>E108</v>
          </cell>
          <cell r="G30" t="str">
            <v xml:space="preserve"> Distribuidor de Agregados - rebocável </v>
          </cell>
          <cell r="H30">
            <v>0</v>
          </cell>
          <cell r="I30">
            <v>3.1269999999999998</v>
          </cell>
        </row>
        <row r="31">
          <cell r="F31" t="str">
            <v>E109</v>
          </cell>
          <cell r="G31" t="str">
            <v xml:space="preserve"> Distribuidor de Agregados – autopropelido </v>
          </cell>
          <cell r="H31">
            <v>13.680899999999999</v>
          </cell>
          <cell r="I31">
            <v>106.79600000000001</v>
          </cell>
        </row>
        <row r="32">
          <cell r="F32" t="str">
            <v>E110</v>
          </cell>
          <cell r="G32" t="str">
            <v xml:space="preserve"> Tanque de Estocagem de Asfalto - 20.000 l </v>
          </cell>
          <cell r="H32">
            <v>0</v>
          </cell>
          <cell r="I32">
            <v>4.2</v>
          </cell>
        </row>
        <row r="33">
          <cell r="F33" t="str">
            <v>E111</v>
          </cell>
          <cell r="G33" t="str">
            <v xml:space="preserve"> Equip. Distribuição de Asfalto - montado em caminhão</v>
          </cell>
          <cell r="H33">
            <v>12.5082</v>
          </cell>
          <cell r="I33">
            <v>85.470600000000005</v>
          </cell>
        </row>
        <row r="34">
          <cell r="F34" t="str">
            <v>E112</v>
          </cell>
          <cell r="G34" t="str">
            <v xml:space="preserve"> Aquecedor de Fluido Térmico</v>
          </cell>
          <cell r="H34">
            <v>0</v>
          </cell>
          <cell r="I34">
            <v>19.5</v>
          </cell>
        </row>
        <row r="35">
          <cell r="F35" t="str">
            <v>E113</v>
          </cell>
          <cell r="G35" t="str">
            <v xml:space="preserve"> Usina de Asfalto a Quente : Cifali : DMC-2 - 40 / 60 t/h </v>
          </cell>
          <cell r="H35">
            <v>14.4626</v>
          </cell>
          <cell r="I35">
            <v>126.80719999999999</v>
          </cell>
        </row>
        <row r="36">
          <cell r="F36" t="str">
            <v>E114</v>
          </cell>
          <cell r="G36" t="str">
            <v xml:space="preserve"> Vibro-acabadora de Asfalto : Cifali : VDA-206 - sobre pneus</v>
          </cell>
          <cell r="H36">
            <v>14.4626</v>
          </cell>
          <cell r="I36">
            <v>48.809800000000003</v>
          </cell>
        </row>
        <row r="37">
          <cell r="F37" t="str">
            <v>E115</v>
          </cell>
          <cell r="G37" t="str">
            <v xml:space="preserve"> Usina Misturadora : Cifali : - pré mist. a frio 60/100 t/h </v>
          </cell>
          <cell r="H37">
            <v>14.4626</v>
          </cell>
          <cell r="I37">
            <v>29.4802</v>
          </cell>
        </row>
        <row r="38">
          <cell r="F38" t="str">
            <v>E116</v>
          </cell>
          <cell r="G38" t="str">
            <v xml:space="preserve"> Usina Misturadora : Cifali : - pré mist. a frio 30/60 t/h </v>
          </cell>
          <cell r="H38">
            <v>14.4626</v>
          </cell>
          <cell r="I38">
            <v>37.319699999999997</v>
          </cell>
        </row>
        <row r="39">
          <cell r="F39" t="str">
            <v>E117</v>
          </cell>
          <cell r="G39" t="str">
            <v xml:space="preserve"> Rolo Compactador : Muller : RT82H - estático Tanden autoprop. 8,9 t </v>
          </cell>
          <cell r="H39">
            <v>10.553800000000001</v>
          </cell>
          <cell r="I39">
            <v>55.733199999999997</v>
          </cell>
        </row>
        <row r="40">
          <cell r="F40" t="str">
            <v>E118</v>
          </cell>
          <cell r="G40" t="str">
            <v xml:space="preserve"> Rolo Compactador : Dynapac : CC900 - Tanden vibrat. 1,5 t</v>
          </cell>
          <cell r="H40">
            <v>10.553800000000001</v>
          </cell>
          <cell r="I40">
            <v>36.292400000000001</v>
          </cell>
        </row>
        <row r="41">
          <cell r="F41" t="str">
            <v>E119</v>
          </cell>
          <cell r="G41" t="str">
            <v xml:space="preserve"> Rolo Compactador : Muller : AP23 - de pneus estat. autoprop. 23 t </v>
          </cell>
          <cell r="H41">
            <v>10.553800000000001</v>
          </cell>
          <cell r="I41">
            <v>82.439800000000005</v>
          </cell>
        </row>
        <row r="42">
          <cell r="F42" t="str">
            <v>E121</v>
          </cell>
          <cell r="G42" t="str">
            <v xml:space="preserve"> Rolo Compactador : Dynapac : CA15 - liso vibrat.autoprop. 6,6 t </v>
          </cell>
          <cell r="H42">
            <v>10.553800000000001</v>
          </cell>
          <cell r="I42">
            <v>79.855999999999995</v>
          </cell>
        </row>
        <row r="43">
          <cell r="F43" t="str">
            <v>E122</v>
          </cell>
          <cell r="G43" t="str">
            <v xml:space="preserve"> Equip. Distribuição Lama Asfáltica : M. Benz/Consmaq :2423 K - montado em caminhão</v>
          </cell>
          <cell r="H43">
            <v>12.5082</v>
          </cell>
          <cell r="I43">
            <v>128.73580000000001</v>
          </cell>
        </row>
        <row r="44">
          <cell r="F44" t="str">
            <v>E123</v>
          </cell>
          <cell r="G44" t="str">
            <v xml:space="preserve"> Caldeira de Asfalto Rebocável - 1200 l</v>
          </cell>
          <cell r="H44">
            <v>0</v>
          </cell>
          <cell r="I44">
            <v>7.02</v>
          </cell>
        </row>
        <row r="45">
          <cell r="F45" t="str">
            <v>E124</v>
          </cell>
          <cell r="G45" t="str">
            <v xml:space="preserve"> Usina de Asfalto a Quente : Cifali : - gravim 100/140 t/h </v>
          </cell>
          <cell r="H45">
            <v>14.4626</v>
          </cell>
          <cell r="I45">
            <v>301.17680000000001</v>
          </cell>
        </row>
        <row r="46">
          <cell r="F46" t="str">
            <v>E126</v>
          </cell>
          <cell r="G46" t="str">
            <v xml:space="preserve"> Fresadora a Frio : Wirtgen : W-1000 L</v>
          </cell>
          <cell r="H46">
            <v>14.4626</v>
          </cell>
          <cell r="I46">
            <v>302.77940000000001</v>
          </cell>
        </row>
        <row r="47">
          <cell r="F47" t="str">
            <v>E127</v>
          </cell>
          <cell r="G47" t="str">
            <v xml:space="preserve"> Fresadora a Frio : Wirtgen : W-1900</v>
          </cell>
          <cell r="H47">
            <v>14.4626</v>
          </cell>
          <cell r="I47">
            <v>606.62260000000003</v>
          </cell>
        </row>
        <row r="48">
          <cell r="F48" t="str">
            <v>E128</v>
          </cell>
          <cell r="G48" t="str">
            <v xml:space="preserve"> Recicladora de Pavimento : Wirtgen : WR 2000 - a frio</v>
          </cell>
          <cell r="H48">
            <v>14.4626</v>
          </cell>
          <cell r="I48">
            <v>430.86259999999999</v>
          </cell>
        </row>
        <row r="49">
          <cell r="F49" t="str">
            <v>E129</v>
          </cell>
          <cell r="G49" t="str">
            <v xml:space="preserve"> Recicladora de Pavimento : Wirtgen : WR 2500 S - A frio</v>
          </cell>
          <cell r="H49">
            <v>14.4626</v>
          </cell>
          <cell r="I49">
            <v>653.67539999999997</v>
          </cell>
        </row>
        <row r="50">
          <cell r="F50" t="str">
            <v>E138</v>
          </cell>
          <cell r="G50" t="str">
            <v xml:space="preserve"> Estabilizador/Recicladora a Frio : Caterpillar : RM-500</v>
          </cell>
          <cell r="H50">
            <v>14.4626</v>
          </cell>
          <cell r="I50">
            <v>403.81360000000001</v>
          </cell>
        </row>
        <row r="51">
          <cell r="F51" t="str">
            <v>E139</v>
          </cell>
          <cell r="G51" t="str">
            <v xml:space="preserve"> Rolo Compactador : Dynapac : CA25 - liso auto. vibrat.</v>
          </cell>
          <cell r="H51">
            <v>10.553800000000001</v>
          </cell>
          <cell r="I51">
            <v>117.4434</v>
          </cell>
        </row>
        <row r="52">
          <cell r="F52" t="str">
            <v>E142</v>
          </cell>
          <cell r="G52" t="str">
            <v xml:space="preserve"> Rolo Compactador : Dynapac : CP271 - de pneus</v>
          </cell>
          <cell r="H52">
            <v>10.553800000000001</v>
          </cell>
          <cell r="I52">
            <v>104.36539999999999</v>
          </cell>
        </row>
        <row r="53">
          <cell r="F53" t="str">
            <v>E147</v>
          </cell>
          <cell r="G53" t="str">
            <v xml:space="preserve"> Usina de Asfalto a Quente - 90/120 t/h com filtro de manga </v>
          </cell>
          <cell r="H53">
            <v>14.4626</v>
          </cell>
          <cell r="I53">
            <v>207.31979999999999</v>
          </cell>
        </row>
        <row r="54">
          <cell r="F54" t="str">
            <v>E149</v>
          </cell>
          <cell r="G54" t="str">
            <v xml:space="preserve"> Vibro-acabadora de Asfalto – sobre esteiras</v>
          </cell>
          <cell r="H54">
            <v>14.4626</v>
          </cell>
          <cell r="I54">
            <v>125.634</v>
          </cell>
        </row>
        <row r="55">
          <cell r="F55" t="str">
            <v>E151</v>
          </cell>
          <cell r="G55" t="str">
            <v xml:space="preserve"> Rolo Compactador : Caterpillar : PS-360 C - autoprop. de pneus 25 t </v>
          </cell>
          <cell r="H55">
            <v>10.553800000000001</v>
          </cell>
          <cell r="I55">
            <v>83.918000000000006</v>
          </cell>
        </row>
        <row r="56">
          <cell r="F56" t="str">
            <v>E156</v>
          </cell>
          <cell r="G56" t="str">
            <v xml:space="preserve"> Carregadeira de Pneus : Case : 40 XT - c/ vassoura de 1,80 m </v>
          </cell>
          <cell r="H56">
            <v>13.680899999999999</v>
          </cell>
          <cell r="I56">
            <v>41.648400000000002</v>
          </cell>
        </row>
        <row r="57">
          <cell r="F57" t="str">
            <v>E160</v>
          </cell>
          <cell r="G57" t="str">
            <v xml:space="preserve"> Fresadora e Distribuidora de solo – para regular sub leito </v>
          </cell>
          <cell r="H57">
            <v>14.4626</v>
          </cell>
          <cell r="I57">
            <v>374.62259999999998</v>
          </cell>
        </row>
        <row r="58">
          <cell r="F58" t="str">
            <v>E161</v>
          </cell>
          <cell r="G58" t="str">
            <v xml:space="preserve"> Equip. Distr. de L.A. Rupt. Contr. : M. Benz/Cifali : MICROFLEX - acoplado a cavalo mecânico</v>
          </cell>
          <cell r="H58">
            <v>13.29</v>
          </cell>
          <cell r="I58">
            <v>240.17789999999999</v>
          </cell>
        </row>
        <row r="59">
          <cell r="F59" t="str">
            <v>E201</v>
          </cell>
          <cell r="G59" t="str">
            <v xml:space="preserve"> Compressor de Ar - 295 PCM</v>
          </cell>
          <cell r="H59">
            <v>10.553800000000001</v>
          </cell>
          <cell r="I59">
            <v>43.954300000000003</v>
          </cell>
        </row>
        <row r="60">
          <cell r="F60" t="str">
            <v>E202</v>
          </cell>
          <cell r="G60" t="str">
            <v xml:space="preserve"> Compressor de Ar - 400 PCM</v>
          </cell>
          <cell r="H60">
            <v>10.553800000000001</v>
          </cell>
          <cell r="I60">
            <v>59.789400000000001</v>
          </cell>
        </row>
        <row r="61">
          <cell r="F61" t="str">
            <v>E203</v>
          </cell>
          <cell r="G61" t="str">
            <v xml:space="preserve"> Compressor de Ar - 762 PCM</v>
          </cell>
          <cell r="H61">
            <v>10.553800000000001</v>
          </cell>
          <cell r="I61">
            <v>115.5042</v>
          </cell>
        </row>
        <row r="62">
          <cell r="F62" t="str">
            <v>E204</v>
          </cell>
          <cell r="G62" t="str">
            <v xml:space="preserve"> Martelete - perfuratriz manual</v>
          </cell>
          <cell r="H62">
            <v>9.3811999999999998</v>
          </cell>
          <cell r="I62">
            <v>9.9277999999999995</v>
          </cell>
        </row>
        <row r="63">
          <cell r="F63" t="str">
            <v>E205</v>
          </cell>
          <cell r="G63" t="str">
            <v xml:space="preserve"> Perfuratriz sobre Esteiras - Crawler Drill </v>
          </cell>
          <cell r="H63">
            <v>10.553800000000001</v>
          </cell>
          <cell r="I63">
            <v>57.260899999999999</v>
          </cell>
        </row>
        <row r="64">
          <cell r="F64" t="str">
            <v>E206</v>
          </cell>
          <cell r="G64" t="str">
            <v xml:space="preserve"> Conjunto de Britagem : FAÇO : L-150A - 30 m3/h</v>
          </cell>
          <cell r="H64">
            <v>13.680899999999999</v>
          </cell>
          <cell r="I64">
            <v>160.3381</v>
          </cell>
        </row>
        <row r="65">
          <cell r="F65" t="str">
            <v>E207</v>
          </cell>
          <cell r="G65" t="str">
            <v xml:space="preserve"> Conjunto de Britagem : FAÇO : C-130 - 9 a 20 m3/h</v>
          </cell>
          <cell r="H65">
            <v>13.680899999999999</v>
          </cell>
          <cell r="I65">
            <v>44.398699999999998</v>
          </cell>
        </row>
        <row r="66">
          <cell r="F66" t="str">
            <v>E208</v>
          </cell>
          <cell r="G66" t="str">
            <v xml:space="preserve"> Compressor de Ar - 200 PCM</v>
          </cell>
          <cell r="H66">
            <v>10.553800000000001</v>
          </cell>
          <cell r="I66">
            <v>41.760800000000003</v>
          </cell>
        </row>
        <row r="67">
          <cell r="F67" t="str">
            <v>E209</v>
          </cell>
          <cell r="G67" t="str">
            <v xml:space="preserve"> Martelete - rompedor 28 kg </v>
          </cell>
          <cell r="H67">
            <v>9.3811999999999998</v>
          </cell>
          <cell r="I67">
            <v>10.0631</v>
          </cell>
        </row>
        <row r="68">
          <cell r="F68" t="str">
            <v>E210</v>
          </cell>
          <cell r="G68" t="str">
            <v xml:space="preserve"> Martelete - rompedor 33 kg </v>
          </cell>
          <cell r="H68">
            <v>9.3811999999999998</v>
          </cell>
          <cell r="I68">
            <v>10.0716</v>
          </cell>
        </row>
        <row r="69">
          <cell r="F69" t="str">
            <v>E211</v>
          </cell>
          <cell r="G69" t="str">
            <v xml:space="preserve"> Máquina para Pintura : Shulz : MS 20 BR - compres. de ar p/ pintura c/ filtro</v>
          </cell>
          <cell r="H69">
            <v>0</v>
          </cell>
          <cell r="I69">
            <v>0.71499999999999997</v>
          </cell>
        </row>
        <row r="70">
          <cell r="F70" t="str">
            <v>E223</v>
          </cell>
          <cell r="G70" t="str">
            <v xml:space="preserve"> Compressor de Ar : Atlas Copco : XATS 176 - 360 PCM</v>
          </cell>
          <cell r="H70">
            <v>10.553800000000001</v>
          </cell>
          <cell r="I70">
            <v>59.063499999999998</v>
          </cell>
        </row>
        <row r="71">
          <cell r="F71" t="str">
            <v>E225</v>
          </cell>
          <cell r="G71" t="str">
            <v xml:space="preserve"> Conjunto de Britagem : FAÇO : - 80 m3/h</v>
          </cell>
          <cell r="H71">
            <v>13.680899999999999</v>
          </cell>
          <cell r="I71">
            <v>268.73439999999999</v>
          </cell>
        </row>
        <row r="72">
          <cell r="F72" t="str">
            <v>E226</v>
          </cell>
          <cell r="G72" t="str">
            <v xml:space="preserve"> Conjunto de Britagem - p/ rachão : FAÇO : - 80 m3/h p/ produção de rachão </v>
          </cell>
          <cell r="H72">
            <v>13.680899999999999</v>
          </cell>
          <cell r="I72">
            <v>97.252399999999994</v>
          </cell>
        </row>
        <row r="73">
          <cell r="F73" t="str">
            <v>E301</v>
          </cell>
          <cell r="G73" t="str">
            <v xml:space="preserve"> Betoneira : Penedo : - 320 l</v>
          </cell>
          <cell r="H73">
            <v>10.553800000000001</v>
          </cell>
          <cell r="I73">
            <v>13.6153</v>
          </cell>
        </row>
        <row r="74">
          <cell r="F74" t="str">
            <v>E302</v>
          </cell>
          <cell r="G74" t="str">
            <v xml:space="preserve"> Betoneira : Penedo : - 320 l </v>
          </cell>
          <cell r="H74">
            <v>10.553800000000001</v>
          </cell>
          <cell r="I74">
            <v>10.9681</v>
          </cell>
        </row>
        <row r="75">
          <cell r="F75" t="str">
            <v>E303</v>
          </cell>
          <cell r="G75" t="str">
            <v xml:space="preserve"> Betoneira : Alfa : - 750 l </v>
          </cell>
          <cell r="H75">
            <v>10.553800000000001</v>
          </cell>
          <cell r="I75">
            <v>14.067</v>
          </cell>
        </row>
        <row r="76">
          <cell r="F76" t="str">
            <v>E304</v>
          </cell>
          <cell r="G76" t="str">
            <v xml:space="preserve"> Transportador Manual - carrinho de mão 80 l</v>
          </cell>
          <cell r="H76">
            <v>0</v>
          </cell>
          <cell r="I76">
            <v>0.14499999999999999</v>
          </cell>
        </row>
        <row r="77">
          <cell r="F77" t="str">
            <v>E305</v>
          </cell>
          <cell r="G77" t="str">
            <v xml:space="preserve"> Transportador Manual - gerica 180 l </v>
          </cell>
          <cell r="H77">
            <v>0</v>
          </cell>
          <cell r="I77">
            <v>0.2175</v>
          </cell>
        </row>
        <row r="78">
          <cell r="F78" t="str">
            <v>E306</v>
          </cell>
          <cell r="G78" t="str">
            <v xml:space="preserve"> Vibrador de Concreto - de imersão</v>
          </cell>
          <cell r="H78">
            <v>9.3811999999999998</v>
          </cell>
          <cell r="I78">
            <v>10.6533</v>
          </cell>
        </row>
        <row r="79">
          <cell r="F79" t="str">
            <v>E307</v>
          </cell>
          <cell r="G79" t="str">
            <v xml:space="preserve"> Fábric. Pré-Moldado Concreto : Servimaq : - tubos D=0,2 m M / F</v>
          </cell>
          <cell r="H79">
            <v>0</v>
          </cell>
          <cell r="I79">
            <v>3.7505999999999999</v>
          </cell>
        </row>
        <row r="80">
          <cell r="F80" t="str">
            <v>E308</v>
          </cell>
          <cell r="G80" t="str">
            <v xml:space="preserve"> Fábric. Pré-Moldado Concreto : Servimaq : - tubos D=0,3 m M / F</v>
          </cell>
          <cell r="H80">
            <v>0</v>
          </cell>
          <cell r="I80">
            <v>4.5273000000000003</v>
          </cell>
        </row>
        <row r="81">
          <cell r="F81" t="str">
            <v>E309</v>
          </cell>
          <cell r="G81" t="str">
            <v xml:space="preserve"> Fábric. Pré-Moldado Concreto : Servimaq : - tubos D=0,4 m M / F</v>
          </cell>
          <cell r="H81">
            <v>0</v>
          </cell>
          <cell r="I81">
            <v>5.1931000000000003</v>
          </cell>
        </row>
        <row r="82">
          <cell r="F82" t="str">
            <v>E310</v>
          </cell>
          <cell r="G82" t="str">
            <v xml:space="preserve"> Fábric. Pré-Moldado Concreto : Servimaq : - tubos D=0,6 m M / F</v>
          </cell>
          <cell r="H82">
            <v>0</v>
          </cell>
          <cell r="I82">
            <v>6.0217999999999998</v>
          </cell>
        </row>
        <row r="83">
          <cell r="F83" t="str">
            <v>E311</v>
          </cell>
          <cell r="G83" t="str">
            <v xml:space="preserve"> Fábric. Pré-Moldado Concreto : Servimaq : - tubos D=0,8 m M / F</v>
          </cell>
          <cell r="H83">
            <v>0</v>
          </cell>
          <cell r="I83">
            <v>6.7648000000000001</v>
          </cell>
        </row>
        <row r="84">
          <cell r="F84" t="str">
            <v>E312</v>
          </cell>
          <cell r="G84" t="str">
            <v xml:space="preserve"> Fábric. Pré-Moldado Concreto : Servimaq : - tubos D=1,0 m M / F</v>
          </cell>
          <cell r="H84">
            <v>0</v>
          </cell>
          <cell r="I84">
            <v>7.1337999999999999</v>
          </cell>
        </row>
        <row r="85">
          <cell r="F85" t="str">
            <v>E313</v>
          </cell>
          <cell r="G85" t="str">
            <v xml:space="preserve"> Fábric. Pré-Moldado Concreto : Servimaq : - tubos D=1,2 m M / F</v>
          </cell>
          <cell r="H85">
            <v>0</v>
          </cell>
          <cell r="I85">
            <v>8.1166</v>
          </cell>
        </row>
        <row r="86">
          <cell r="F86" t="str">
            <v>E314</v>
          </cell>
          <cell r="G86" t="str">
            <v xml:space="preserve"> Fábric. Pré-Moldado Concreto : Servimaq : - tubos D=1,5 m M / F</v>
          </cell>
          <cell r="H86">
            <v>0</v>
          </cell>
          <cell r="I86">
            <v>5.6238000000000001</v>
          </cell>
        </row>
        <row r="87">
          <cell r="F87" t="str">
            <v>E316</v>
          </cell>
          <cell r="G87" t="str">
            <v xml:space="preserve"> Fábric. Pré-Moldado Concreto : Servimaq : - inst. compl. – mourão</v>
          </cell>
          <cell r="H87">
            <v>0</v>
          </cell>
          <cell r="I87">
            <v>1.2593000000000001</v>
          </cell>
        </row>
        <row r="88">
          <cell r="F88" t="str">
            <v>E317</v>
          </cell>
          <cell r="G88" t="str">
            <v xml:space="preserve"> Fábric. Pré-Moldado Concreto : Servimaq : - inst. compl. – balizador</v>
          </cell>
          <cell r="H88">
            <v>0</v>
          </cell>
          <cell r="I88">
            <v>1.7605</v>
          </cell>
        </row>
        <row r="89">
          <cell r="F89" t="str">
            <v>E318</v>
          </cell>
          <cell r="G89" t="str">
            <v xml:space="preserve"> Fábric. Pré-Moldado Concreto : Servimaq : - inst. compl. - guarda-corpo</v>
          </cell>
          <cell r="H89">
            <v>0</v>
          </cell>
          <cell r="I89">
            <v>2.4468000000000001</v>
          </cell>
        </row>
        <row r="90">
          <cell r="F90" t="str">
            <v>E323</v>
          </cell>
          <cell r="G90" t="str">
            <v xml:space="preserve"> Central de Concreto : Cifali : - 30m3/h – dosadora</v>
          </cell>
          <cell r="H90">
            <v>14.4626</v>
          </cell>
          <cell r="I90">
            <v>34.966299999999997</v>
          </cell>
        </row>
        <row r="91">
          <cell r="F91" t="str">
            <v>E330</v>
          </cell>
          <cell r="G91" t="str">
            <v xml:space="preserve"> Espalhadora de concreto</v>
          </cell>
          <cell r="H91">
            <v>14.4626</v>
          </cell>
          <cell r="I91">
            <v>261.73610000000002</v>
          </cell>
        </row>
        <row r="92">
          <cell r="F92" t="str">
            <v>E331</v>
          </cell>
          <cell r="G92" t="str">
            <v xml:space="preserve"> Acabadora de concreto - com forma deslizante</v>
          </cell>
          <cell r="H92">
            <v>14.4626</v>
          </cell>
          <cell r="I92">
            <v>352.95859999999999</v>
          </cell>
        </row>
        <row r="93">
          <cell r="F93" t="str">
            <v>E332</v>
          </cell>
          <cell r="G93" t="str">
            <v xml:space="preserve"> Texturizadora e Lançadora – sem estação meteorológica </v>
          </cell>
          <cell r="H93">
            <v>10.553800000000001</v>
          </cell>
          <cell r="I93">
            <v>84.367500000000007</v>
          </cell>
        </row>
        <row r="94">
          <cell r="F94" t="str">
            <v>E333</v>
          </cell>
          <cell r="G94" t="str">
            <v xml:space="preserve"> Serra de Disco Diamantado - para concreto</v>
          </cell>
          <cell r="H94">
            <v>9.3811999999999998</v>
          </cell>
          <cell r="I94">
            <v>37.331899999999997</v>
          </cell>
        </row>
        <row r="95">
          <cell r="F95" t="str">
            <v>E334</v>
          </cell>
          <cell r="G95" t="str">
            <v xml:space="preserve"> Seladora de Juntas</v>
          </cell>
          <cell r="H95">
            <v>9.3811999999999998</v>
          </cell>
          <cell r="I95">
            <v>25.9132</v>
          </cell>
        </row>
        <row r="96">
          <cell r="F96" t="str">
            <v>E335</v>
          </cell>
          <cell r="G96" t="str">
            <v xml:space="preserve"> Central de Concreto - 180m3 / h - dosadora e misturadora.</v>
          </cell>
          <cell r="H96">
            <v>14.4626</v>
          </cell>
          <cell r="I96">
            <v>218.75210000000001</v>
          </cell>
        </row>
        <row r="97">
          <cell r="F97" t="str">
            <v>E336</v>
          </cell>
          <cell r="G97" t="str">
            <v xml:space="preserve"> Serra de Disco Diamantado : CSM - Maq. e Equip. para Construção : SP-8 (gasolina) - serra para cortar piso/asfalto</v>
          </cell>
          <cell r="H97">
            <v>0</v>
          </cell>
          <cell r="I97">
            <v>4.2072000000000003</v>
          </cell>
        </row>
        <row r="98">
          <cell r="F98" t="str">
            <v>E337</v>
          </cell>
          <cell r="G98" t="str">
            <v xml:space="preserve"> Régua vibratória : Wacker : CRV 4 - 4,25m</v>
          </cell>
          <cell r="H98">
            <v>9.3811999999999998</v>
          </cell>
          <cell r="I98">
            <v>13.5785</v>
          </cell>
        </row>
        <row r="99">
          <cell r="F99" t="str">
            <v>E338</v>
          </cell>
          <cell r="G99" t="str">
            <v xml:space="preserve"> Serra de Juntas : Clipper : C-844 - para concreto</v>
          </cell>
          <cell r="H99">
            <v>9.3811999999999998</v>
          </cell>
          <cell r="I99">
            <v>10.997199999999999</v>
          </cell>
        </row>
        <row r="100">
          <cell r="F100" t="str">
            <v>E339</v>
          </cell>
          <cell r="G100" t="str">
            <v xml:space="preserve"> Fábric. Pré-Moldado Concreto : Servimaq : - placas p/ pavimento</v>
          </cell>
          <cell r="H100">
            <v>0</v>
          </cell>
          <cell r="I100">
            <v>2.7526000000000002</v>
          </cell>
        </row>
        <row r="101">
          <cell r="F101" t="str">
            <v>E340</v>
          </cell>
          <cell r="G101" t="str">
            <v xml:space="preserve"> Jateadora de Areia – pressurizado</v>
          </cell>
          <cell r="H101">
            <v>9.3811999999999998</v>
          </cell>
          <cell r="I101">
            <v>11.4779</v>
          </cell>
        </row>
        <row r="102">
          <cell r="F102" t="str">
            <v>E343</v>
          </cell>
          <cell r="G102" t="str">
            <v xml:space="preserve"> Betoneira : Alfa : - 580 l</v>
          </cell>
          <cell r="H102">
            <v>10.553800000000001</v>
          </cell>
          <cell r="I102">
            <v>20.5381</v>
          </cell>
        </row>
        <row r="103">
          <cell r="F103" t="str">
            <v>E400</v>
          </cell>
          <cell r="G103" t="str">
            <v xml:space="preserve"> Caminhão Basculante - 5 m3 - 8,8 t</v>
          </cell>
          <cell r="H103">
            <v>12.5082</v>
          </cell>
          <cell r="I103">
            <v>79.663499999999999</v>
          </cell>
        </row>
        <row r="104">
          <cell r="F104" t="str">
            <v>E402</v>
          </cell>
          <cell r="G104" t="str">
            <v xml:space="preserve"> Caminhão Carroceria – de madeira 15 t</v>
          </cell>
          <cell r="H104">
            <v>12.5082</v>
          </cell>
          <cell r="I104">
            <v>99.149100000000004</v>
          </cell>
        </row>
        <row r="105">
          <cell r="F105" t="str">
            <v>E403</v>
          </cell>
          <cell r="G105" t="str">
            <v xml:space="preserve"> Caminhão Basculante - 6 m3 - 10,5 t</v>
          </cell>
          <cell r="H105">
            <v>12.5082</v>
          </cell>
          <cell r="I105">
            <v>92.103899999999996</v>
          </cell>
        </row>
        <row r="106">
          <cell r="F106" t="str">
            <v>E404</v>
          </cell>
          <cell r="G106" t="str">
            <v xml:space="preserve"> Caminhão Basculante - 10 m3 - 15 t</v>
          </cell>
          <cell r="H106">
            <v>12.5082</v>
          </cell>
          <cell r="I106">
            <v>101.8861</v>
          </cell>
        </row>
        <row r="107">
          <cell r="F107" t="str">
            <v>E405</v>
          </cell>
          <cell r="G107" t="str">
            <v xml:space="preserve"> Caminhão Basculante : Mercedes Benz : 2423 K - p/ rocha 8 m3 - 13 t</v>
          </cell>
          <cell r="H107">
            <v>12.5082</v>
          </cell>
          <cell r="I107">
            <v>111.0484</v>
          </cell>
        </row>
        <row r="108">
          <cell r="F108" t="str">
            <v>E406</v>
          </cell>
          <cell r="G108" t="str">
            <v xml:space="preserve"> Caminhão Tanque - 6.000 l</v>
          </cell>
          <cell r="H108">
            <v>12.5082</v>
          </cell>
          <cell r="I108">
            <v>72.4405</v>
          </cell>
        </row>
        <row r="109">
          <cell r="F109" t="str">
            <v>E407</v>
          </cell>
          <cell r="G109" t="str">
            <v xml:space="preserve"> Caminhão Tanque - 10.000 l </v>
          </cell>
          <cell r="H109">
            <v>12.5082</v>
          </cell>
          <cell r="I109">
            <v>101.0279</v>
          </cell>
        </row>
        <row r="110">
          <cell r="F110" t="str">
            <v>E408</v>
          </cell>
          <cell r="G110" t="str">
            <v xml:space="preserve"> Caminhão Carroceria - 4 t </v>
          </cell>
          <cell r="H110">
            <v>12.5082</v>
          </cell>
          <cell r="I110">
            <v>49.793700000000001</v>
          </cell>
        </row>
        <row r="111">
          <cell r="F111" t="str">
            <v>E409</v>
          </cell>
          <cell r="G111" t="str">
            <v xml:space="preserve"> Caminhão Carroceria - fixa 9 t</v>
          </cell>
          <cell r="H111">
            <v>12.5082</v>
          </cell>
          <cell r="I111">
            <v>70.774299999999997</v>
          </cell>
        </row>
        <row r="112">
          <cell r="F112" t="str">
            <v>E410</v>
          </cell>
          <cell r="G112" t="str">
            <v xml:space="preserve"> Caminhão Basculante : Mercedes Benz : 1215 C - 4 m3 - 7,1 t</v>
          </cell>
          <cell r="H112">
            <v>12.5082</v>
          </cell>
          <cell r="I112">
            <v>69.745999999999995</v>
          </cell>
        </row>
        <row r="113">
          <cell r="F113" t="str">
            <v>E411</v>
          </cell>
          <cell r="G113" t="str">
            <v xml:space="preserve"> Cavalo Mecânico com Reboque - 29,5 t</v>
          </cell>
          <cell r="H113">
            <v>13.29</v>
          </cell>
          <cell r="I113">
            <v>137.70179999999999</v>
          </cell>
        </row>
        <row r="114">
          <cell r="F114" t="str">
            <v>E412</v>
          </cell>
          <cell r="G114" t="str">
            <v xml:space="preserve"> Veículo Leve : Volkswagen : GOL 1000 - automóvel até 100 hp </v>
          </cell>
          <cell r="H114">
            <v>11.335599999999999</v>
          </cell>
          <cell r="I114">
            <v>40.829599999999999</v>
          </cell>
        </row>
        <row r="115">
          <cell r="F115" t="str">
            <v>E416</v>
          </cell>
          <cell r="G115" t="str">
            <v xml:space="preserve"> Veículo Leve - pick up (4X4)</v>
          </cell>
          <cell r="H115">
            <v>11.335599999999999</v>
          </cell>
          <cell r="I115">
            <v>51.8583</v>
          </cell>
        </row>
        <row r="116">
          <cell r="F116" t="str">
            <v>E421</v>
          </cell>
          <cell r="G116" t="str">
            <v xml:space="preserve"> Caminhão Tanque : Mercedes Benz : 2423 K - 13.000 l </v>
          </cell>
          <cell r="H116">
            <v>12.5082</v>
          </cell>
          <cell r="I116">
            <v>101.0826</v>
          </cell>
        </row>
        <row r="117">
          <cell r="F117" t="str">
            <v>E422</v>
          </cell>
          <cell r="G117" t="str">
            <v xml:space="preserve"> Caminhão Tanque - 8.000 l </v>
          </cell>
          <cell r="H117">
            <v>12.5082</v>
          </cell>
          <cell r="I117">
            <v>72.807699999999997</v>
          </cell>
        </row>
        <row r="118">
          <cell r="F118" t="str">
            <v>E427</v>
          </cell>
          <cell r="G118" t="str">
            <v xml:space="preserve"> Caminhão Betoneira : Volkswagen : 17-220 - 11,5 t 5m3 </v>
          </cell>
          <cell r="H118">
            <v>12.5082</v>
          </cell>
          <cell r="I118">
            <v>102.7287</v>
          </cell>
        </row>
        <row r="119">
          <cell r="F119" t="str">
            <v>E432</v>
          </cell>
          <cell r="G119" t="str">
            <v xml:space="preserve"> Caminhão Basculante - 20 t</v>
          </cell>
          <cell r="H119">
            <v>12.5082</v>
          </cell>
          <cell r="I119">
            <v>165.3468</v>
          </cell>
        </row>
        <row r="120">
          <cell r="F120" t="str">
            <v>E433</v>
          </cell>
          <cell r="G120" t="str">
            <v xml:space="preserve"> Caminhão Basculante - para rocha 18 t </v>
          </cell>
          <cell r="H120">
            <v>12.5082</v>
          </cell>
          <cell r="I120">
            <v>174.67410000000001</v>
          </cell>
        </row>
        <row r="121">
          <cell r="F121" t="str">
            <v>E434</v>
          </cell>
          <cell r="G121" t="str">
            <v xml:space="preserve"> Caminhão Carroceria - c/ guindauto 6 t x m</v>
          </cell>
          <cell r="H121">
            <v>12.5082</v>
          </cell>
          <cell r="I121">
            <v>79.731099999999998</v>
          </cell>
        </row>
        <row r="122">
          <cell r="F122" t="str">
            <v>E501</v>
          </cell>
          <cell r="G122" t="str">
            <v xml:space="preserve"> Grupo Gerador - 36/40 KVA</v>
          </cell>
          <cell r="H122">
            <v>10.553800000000001</v>
          </cell>
          <cell r="I122">
            <v>26.245999999999999</v>
          </cell>
        </row>
        <row r="123">
          <cell r="F123" t="str">
            <v>E502</v>
          </cell>
          <cell r="G123" t="str">
            <v xml:space="preserve"> Grupo Gerador : Heimer : GEHM-150 - 136 / 150 KVA </v>
          </cell>
          <cell r="H123">
            <v>10.553800000000001</v>
          </cell>
          <cell r="I123">
            <v>65.012</v>
          </cell>
        </row>
        <row r="124">
          <cell r="F124" t="str">
            <v>E503</v>
          </cell>
          <cell r="G124" t="str">
            <v xml:space="preserve"> Grupo Gerador - 164 / 180 KVA </v>
          </cell>
          <cell r="H124">
            <v>10.553800000000001</v>
          </cell>
          <cell r="I124">
            <v>75.337599999999995</v>
          </cell>
        </row>
        <row r="125">
          <cell r="F125" t="str">
            <v>E504</v>
          </cell>
          <cell r="G125" t="str">
            <v xml:space="preserve"> Grupo Gerador - 288 KVA </v>
          </cell>
          <cell r="H125">
            <v>10.553800000000001</v>
          </cell>
          <cell r="I125">
            <v>110.0752</v>
          </cell>
        </row>
        <row r="126">
          <cell r="F126" t="str">
            <v>E505</v>
          </cell>
          <cell r="G126" t="str">
            <v xml:space="preserve"> Grupo Gerador : Heimer : GEHB-17 KVA - 17,0 / 15,5 KVA</v>
          </cell>
          <cell r="H126">
            <v>10.553800000000001</v>
          </cell>
          <cell r="I126">
            <v>18.199000000000002</v>
          </cell>
        </row>
        <row r="127">
          <cell r="F127" t="str">
            <v>E507</v>
          </cell>
          <cell r="G127" t="str">
            <v xml:space="preserve"> Grupo Gerador : Heimer : GEHP-110 - 100 / 110 KVA</v>
          </cell>
          <cell r="H127">
            <v>10.553800000000001</v>
          </cell>
          <cell r="I127">
            <v>50.267299999999999</v>
          </cell>
        </row>
        <row r="128">
          <cell r="F128" t="str">
            <v>E508</v>
          </cell>
          <cell r="G128" t="str">
            <v xml:space="preserve"> Grupo Gerador - Manual/elétrico</v>
          </cell>
          <cell r="H128">
            <v>10.553800000000001</v>
          </cell>
          <cell r="I128">
            <v>14.657999999999999</v>
          </cell>
        </row>
        <row r="129">
          <cell r="F129" t="str">
            <v>E509</v>
          </cell>
          <cell r="G129" t="str">
            <v xml:space="preserve"> Grupo Gerador - 32,0 KVA</v>
          </cell>
          <cell r="H129">
            <v>10.553800000000001</v>
          </cell>
          <cell r="I129">
            <v>22.752600000000001</v>
          </cell>
        </row>
        <row r="130">
          <cell r="F130" t="str">
            <v>E601</v>
          </cell>
          <cell r="G130" t="str">
            <v xml:space="preserve"> Roçadeira : M. Ferguson / Marchesan : - em trator de pneus</v>
          </cell>
          <cell r="H130">
            <v>10.553800000000001</v>
          </cell>
          <cell r="I130">
            <v>58.890900000000002</v>
          </cell>
        </row>
        <row r="131">
          <cell r="F131" t="str">
            <v>E602</v>
          </cell>
          <cell r="G131" t="str">
            <v xml:space="preserve"> Roçadeira : Yanmar : XTA-TC145 - em micro trator </v>
          </cell>
          <cell r="H131">
            <v>10.553800000000001</v>
          </cell>
          <cell r="I131">
            <v>20.2072</v>
          </cell>
        </row>
        <row r="132">
          <cell r="F132" t="str">
            <v>E603</v>
          </cell>
          <cell r="G132" t="str">
            <v xml:space="preserve"> Roçadeira : Stihl : FS-220 - mecânica (costal) </v>
          </cell>
          <cell r="H132">
            <v>9.3811999999999998</v>
          </cell>
          <cell r="I132">
            <v>13.1797</v>
          </cell>
        </row>
        <row r="133">
          <cell r="F133" t="str">
            <v>E901</v>
          </cell>
          <cell r="G133" t="str">
            <v xml:space="preserve"> Campânula de Ar Comprimido - 3 m3 </v>
          </cell>
          <cell r="H133">
            <v>0</v>
          </cell>
          <cell r="I133">
            <v>6.9236000000000004</v>
          </cell>
        </row>
        <row r="134">
          <cell r="F134" t="str">
            <v>E902</v>
          </cell>
          <cell r="G134" t="str">
            <v xml:space="preserve"> Bate-Estacas : Magam : IM-750 PM - de gravidade p/ 600 a 800 kg </v>
          </cell>
          <cell r="H134">
            <v>10.553800000000001</v>
          </cell>
          <cell r="I134">
            <v>22.7072</v>
          </cell>
        </row>
        <row r="135">
          <cell r="F135" t="str">
            <v>E903</v>
          </cell>
          <cell r="G135" t="str">
            <v xml:space="preserve"> Bate-Estacas : Magam : IM -1450 PM/E - de gravidade p/ 3.500 a 4000 kg </v>
          </cell>
          <cell r="H135">
            <v>10.553800000000001</v>
          </cell>
          <cell r="I135">
            <v>95.930700000000002</v>
          </cell>
        </row>
        <row r="136">
          <cell r="F136" t="str">
            <v>E904</v>
          </cell>
          <cell r="G136" t="str">
            <v xml:space="preserve"> Máquina de Bancada - serra circular de 12" </v>
          </cell>
          <cell r="H136">
            <v>0</v>
          </cell>
          <cell r="I136">
            <v>0.2429</v>
          </cell>
        </row>
        <row r="137">
          <cell r="F137" t="str">
            <v>E905</v>
          </cell>
          <cell r="G137" t="str">
            <v xml:space="preserve"> Máquina Manual - talha guincho para 3 t </v>
          </cell>
          <cell r="H137">
            <v>0</v>
          </cell>
          <cell r="I137">
            <v>0.30590000000000001</v>
          </cell>
        </row>
        <row r="138">
          <cell r="F138" t="str">
            <v>E906</v>
          </cell>
          <cell r="G138" t="str">
            <v xml:space="preserve"> Compactador Manual – soquete vibratório </v>
          </cell>
          <cell r="H138">
            <v>9.3811999999999998</v>
          </cell>
          <cell r="I138">
            <v>13.9863</v>
          </cell>
        </row>
        <row r="139">
          <cell r="F139" t="str">
            <v>E907</v>
          </cell>
          <cell r="G139" t="str">
            <v xml:space="preserve"> Conjunto Moto-Bomba : Hero : 180-SH-75 - com motor</v>
          </cell>
          <cell r="H139">
            <v>0</v>
          </cell>
          <cell r="I139">
            <v>12.8759</v>
          </cell>
        </row>
        <row r="140">
          <cell r="F140" t="str">
            <v>E908</v>
          </cell>
          <cell r="G140" t="str">
            <v xml:space="preserve"> Máquina para Pintura - demarcação de faixas autoprop. </v>
          </cell>
          <cell r="H140">
            <v>14.4626</v>
          </cell>
          <cell r="I140">
            <v>61.758400000000002</v>
          </cell>
        </row>
        <row r="141">
          <cell r="F141" t="str">
            <v>E909</v>
          </cell>
          <cell r="G141" t="str">
            <v xml:space="preserve"> Equip. para Hidrosemeadura - 5500 l</v>
          </cell>
          <cell r="H141">
            <v>12.5082</v>
          </cell>
          <cell r="I141">
            <v>105.1555</v>
          </cell>
        </row>
        <row r="142">
          <cell r="F142" t="str">
            <v>E910</v>
          </cell>
          <cell r="G142" t="str">
            <v xml:space="preserve"> Máquina Manual : Bosch : 1361 - esmerilhadeira de disco</v>
          </cell>
          <cell r="H142">
            <v>0</v>
          </cell>
          <cell r="I142">
            <v>0.12590000000000001</v>
          </cell>
        </row>
        <row r="143">
          <cell r="F143" t="str">
            <v>E911</v>
          </cell>
          <cell r="G143" t="str">
            <v xml:space="preserve"> Tripé-Sonda : Maquesonda : MACH 850 - Tripé-Sonda com motor</v>
          </cell>
          <cell r="H143">
            <v>0</v>
          </cell>
          <cell r="I143">
            <v>21.229199999999999</v>
          </cell>
        </row>
        <row r="144">
          <cell r="F144" t="str">
            <v>E912</v>
          </cell>
          <cell r="G144" t="str">
            <v xml:space="preserve"> Máquina Manual : Bosch : 1184 - furadeira elétrica de Impacto </v>
          </cell>
          <cell r="H144">
            <v>0</v>
          </cell>
          <cell r="I144">
            <v>7.9799999999999996E-2</v>
          </cell>
        </row>
        <row r="145">
          <cell r="F145" t="str">
            <v>E914</v>
          </cell>
          <cell r="G145" t="str">
            <v xml:space="preserve"> Compactador Manual : Wacker : VPY-1750 – placa vibratória c/ motor </v>
          </cell>
          <cell r="H145">
            <v>9.3811999999999998</v>
          </cell>
          <cell r="I145">
            <v>12.2501</v>
          </cell>
        </row>
        <row r="146">
          <cell r="F146" t="str">
            <v>E915</v>
          </cell>
          <cell r="G146" t="str">
            <v xml:space="preserve"> Vassoura Mecânica : M. Benz/Consmaq : - equip. varred. aspirad.</v>
          </cell>
          <cell r="H146">
            <v>12.5082</v>
          </cell>
          <cell r="I146">
            <v>109.2734</v>
          </cell>
        </row>
        <row r="147">
          <cell r="F147" t="str">
            <v>E916</v>
          </cell>
          <cell r="G147" t="str">
            <v xml:space="preserve"> Máquina Manual : Stihl : - moto serra nº 8 </v>
          </cell>
          <cell r="H147">
            <v>9.3811999999999998</v>
          </cell>
          <cell r="I147">
            <v>15.716200000000001</v>
          </cell>
        </row>
        <row r="148">
          <cell r="F148" t="str">
            <v>E917</v>
          </cell>
          <cell r="G148" t="str">
            <v xml:space="preserve"> Máquina de Bancada : Franho : - C-6A universal de corte p/ chapa </v>
          </cell>
          <cell r="H148">
            <v>9.3811999999999998</v>
          </cell>
          <cell r="I148">
            <v>12.1113</v>
          </cell>
        </row>
        <row r="149">
          <cell r="F149" t="str">
            <v>E918</v>
          </cell>
          <cell r="G149" t="str">
            <v xml:space="preserve"> Máquina de Bancada : Harlo : VF-8 - prensa excêntrica</v>
          </cell>
          <cell r="H149">
            <v>0</v>
          </cell>
          <cell r="I149">
            <v>2.4108000000000001</v>
          </cell>
        </row>
        <row r="150">
          <cell r="F150" t="str">
            <v>E919</v>
          </cell>
          <cell r="G150" t="str">
            <v xml:space="preserve"> Máquina de Bancada : Newton : GMN 1202 - guilhotina 8 t </v>
          </cell>
          <cell r="H150">
            <v>0</v>
          </cell>
          <cell r="I150">
            <v>3.8321000000000001</v>
          </cell>
        </row>
        <row r="151">
          <cell r="F151" t="str">
            <v>E920</v>
          </cell>
          <cell r="G151" t="str">
            <v xml:space="preserve"> Máquina para Pintura - de faixa a quente p/ mat. termop. </v>
          </cell>
          <cell r="H151">
            <v>14.4626</v>
          </cell>
          <cell r="I151">
            <v>60.3508</v>
          </cell>
        </row>
        <row r="152">
          <cell r="F152" t="str">
            <v>E921</v>
          </cell>
          <cell r="G152" t="str">
            <v xml:space="preserve"> Fusor : Consmaq : - 600 l</v>
          </cell>
          <cell r="H152">
            <v>0</v>
          </cell>
          <cell r="I152">
            <v>23.92</v>
          </cell>
        </row>
        <row r="153">
          <cell r="F153" t="str">
            <v>E922</v>
          </cell>
          <cell r="G153" t="str">
            <v xml:space="preserve"> Martelete - perfurador/ rompedor elétrico 11316</v>
          </cell>
          <cell r="H153">
            <v>9.3811999999999998</v>
          </cell>
          <cell r="I153">
            <v>9.9901999999999997</v>
          </cell>
        </row>
        <row r="154">
          <cell r="F154" t="str">
            <v>E923</v>
          </cell>
          <cell r="G154" t="str">
            <v xml:space="preserve"> Máquina Manual : Bosch : - lixadeira 1353-7" </v>
          </cell>
          <cell r="H154">
            <v>0</v>
          </cell>
          <cell r="I154">
            <v>9.4299999999999995E-2</v>
          </cell>
        </row>
        <row r="155">
          <cell r="F155" t="str">
            <v>E924</v>
          </cell>
          <cell r="G155" t="str">
            <v xml:space="preserve"> Equip. para Solda – transformador solda elétr. 250 amp</v>
          </cell>
          <cell r="H155">
            <v>0</v>
          </cell>
          <cell r="I155">
            <v>8.0399999999999999E-2</v>
          </cell>
        </row>
        <row r="156">
          <cell r="F156" t="str">
            <v>E925</v>
          </cell>
          <cell r="G156" t="str">
            <v xml:space="preserve"> Aplicador de Material Termoplástico : Elgimaq : - por extrusão </v>
          </cell>
          <cell r="H156">
            <v>0</v>
          </cell>
          <cell r="I156">
            <v>11.0061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FECHAMENTO"/>
      <sheetName val="Resumo Geral"/>
      <sheetName val="Inst. da Obra"/>
      <sheetName val="Resumo_Captação"/>
      <sheetName val="II-Tomada D'água"/>
      <sheetName val="III-Canal A.bruta"/>
      <sheetName val="IV-Tanque R. ferro"/>
      <sheetName val="V-Bloco Hidráulico"/>
      <sheetName val="VI-Tubulação Água Filt."/>
      <sheetName val="VII- Tanque de Cont. e P. Suc."/>
      <sheetName val="VIII- Recuperação Talude"/>
      <sheetName val="Resumo Controle OP"/>
      <sheetName val="Medidores Vazão"/>
      <sheetName val="Medidores Nível"/>
      <sheetName val="Medidor Pressão"/>
      <sheetName val="Obras Civis"/>
      <sheetName val="Supervisório"/>
      <sheetName val="IX- pre operação"/>
      <sheetName val="Resumo Adutora"/>
      <sheetName val="ADUTORA GRAVIDADE "/>
      <sheetName val="E.E.A.T. "/>
      <sheetName val="RES.ÁGUA TRAT.LAV.FILT"/>
      <sheetName val="Resumo Adequação"/>
      <sheetName val="VIII_ L. LAVAGEM "/>
      <sheetName val="VI - L. RECALQUE"/>
      <sheetName val="I - Casa de Química"/>
      <sheetName val="II -  Filtros_Administração"/>
      <sheetName val=" III - Decantadores"/>
      <sheetName val="IV - Floculadores"/>
      <sheetName val="Resumo Trata Eflu"/>
      <sheetName val="Adensadores"/>
      <sheetName val="Desidratação do lodo"/>
      <sheetName val="L.Retorno"/>
      <sheetName val="Rede de esgoto"/>
      <sheetName val="Plan2"/>
      <sheetName val="ABC"/>
      <sheetName val="PLANILHAS 1"/>
      <sheetName val="PLANILHAS (2)"/>
      <sheetName val="PLANILHAS"/>
    </sheetNames>
    <sheetDataSet>
      <sheetData sheetId="0" refreshError="1"/>
      <sheetData sheetId="1" refreshError="1">
        <row r="2">
          <cell r="D2" t="str">
            <v>K</v>
          </cell>
          <cell r="E2">
            <v>194</v>
          </cell>
          <cell r="F2">
            <v>1.0194000000000001</v>
          </cell>
          <cell r="N2" t="str">
            <v>ÓRGÃO</v>
          </cell>
          <cell r="P2" t="str">
            <v>PREÇO FIXO</v>
          </cell>
        </row>
        <row r="3">
          <cell r="D3" t="str">
            <v>META</v>
          </cell>
          <cell r="F3">
            <v>49990209.914610006</v>
          </cell>
          <cell r="N3" t="str">
            <v>0,93 ÓRGÃO</v>
          </cell>
        </row>
        <row r="4">
          <cell r="D4" t="str">
            <v>PREÇO ATUAL</v>
          </cell>
          <cell r="F4">
            <v>49990307.18</v>
          </cell>
          <cell r="N4" t="str">
            <v>0,97 ÓRGÃO</v>
          </cell>
        </row>
        <row r="5">
          <cell r="A5" t="str">
            <v>CÓDIGO</v>
          </cell>
          <cell r="B5" t="str">
            <v>DESCRIÇÃO DOS SERVIÇOS</v>
          </cell>
          <cell r="C5" t="str">
            <v>UN.</v>
          </cell>
          <cell r="D5" t="str">
            <v>UNITÁRIO ÓRGÃO</v>
          </cell>
          <cell r="E5" t="str">
            <v>UNITÁRIO CUSTO</v>
          </cell>
          <cell r="F5" t="str">
            <v>PREÇO FINAL</v>
          </cell>
          <cell r="G5" t="str">
            <v>TESTE &gt; 25%</v>
          </cell>
          <cell r="H5" t="str">
            <v>TESTE &lt; 70%</v>
          </cell>
          <cell r="J5" t="str">
            <v>TESTE</v>
          </cell>
          <cell r="K5" t="str">
            <v>TESTE2</v>
          </cell>
          <cell r="N5" t="str">
            <v>1,02 ÓRGÃO</v>
          </cell>
        </row>
        <row r="6">
          <cell r="A6" t="str">
            <v>CIV0001</v>
          </cell>
          <cell r="B6" t="str">
            <v>ACABAMENTO DE PEDREIRO</v>
          </cell>
          <cell r="C6" t="str">
            <v>m²</v>
          </cell>
          <cell r="D6">
            <v>13.69</v>
          </cell>
          <cell r="E6">
            <v>14.74</v>
          </cell>
          <cell r="F6">
            <v>15.03</v>
          </cell>
          <cell r="G6" t="str">
            <v>OK</v>
          </cell>
          <cell r="H6" t="str">
            <v>OK</v>
          </cell>
          <cell r="I6">
            <v>1.0978816654492329</v>
          </cell>
          <cell r="J6">
            <v>14.74</v>
          </cell>
          <cell r="K6" t="str">
            <v>OK</v>
          </cell>
        </row>
        <row r="7">
          <cell r="A7" t="str">
            <v>CIV0002</v>
          </cell>
          <cell r="B7" t="str">
            <v>ALVENARIA DE TIJOLOS  FURADO ASSENTADOS E REJUNTADOD COM ARGAMASSA DE CIMENTO E AREIA NO TRAÇO 1:10 - 1 VEZ</v>
          </cell>
          <cell r="C7" t="str">
            <v>m²</v>
          </cell>
          <cell r="D7">
            <v>52.03</v>
          </cell>
          <cell r="E7">
            <v>36.71</v>
          </cell>
          <cell r="F7">
            <v>37.42</v>
          </cell>
          <cell r="G7" t="str">
            <v>OK</v>
          </cell>
          <cell r="H7" t="str">
            <v>OK</v>
          </cell>
          <cell r="I7">
            <v>0.71920046127234294</v>
          </cell>
          <cell r="J7">
            <v>36.71</v>
          </cell>
          <cell r="K7" t="str">
            <v>OK</v>
          </cell>
        </row>
        <row r="8">
          <cell r="A8" t="str">
            <v>CIV0003</v>
          </cell>
          <cell r="B8" t="str">
            <v>ALVENARIA DE TIJOLOS  FURADO ASSENTADOS E REJUNTADOD COM ARGAMASSA DE CIMENTO E AREIA NO TRAÇO 1:10 - 1/2 VEZ</v>
          </cell>
          <cell r="C8" t="str">
            <v>m²</v>
          </cell>
          <cell r="D8">
            <v>30.02</v>
          </cell>
          <cell r="E8">
            <v>21.96</v>
          </cell>
          <cell r="F8">
            <v>22.39</v>
          </cell>
          <cell r="G8" t="str">
            <v>OK</v>
          </cell>
          <cell r="H8" t="str">
            <v>OK</v>
          </cell>
          <cell r="I8">
            <v>0.74583610926049304</v>
          </cell>
          <cell r="J8">
            <v>21.96</v>
          </cell>
          <cell r="K8" t="str">
            <v>OK</v>
          </cell>
        </row>
        <row r="9">
          <cell r="A9" t="str">
            <v>CIV0004</v>
          </cell>
          <cell r="B9" t="str">
            <v>ALVENARIA DE TIJOLOS MACICOS PRENSADOS (1 VEZ)</v>
          </cell>
          <cell r="C9" t="str">
            <v>m²</v>
          </cell>
          <cell r="D9">
            <v>102.21</v>
          </cell>
          <cell r="E9">
            <v>107.98</v>
          </cell>
          <cell r="F9">
            <v>110.07</v>
          </cell>
          <cell r="G9" t="str">
            <v>OK</v>
          </cell>
          <cell r="H9" t="str">
            <v>OK</v>
          </cell>
          <cell r="I9">
            <v>1.0769004989727033</v>
          </cell>
          <cell r="J9">
            <v>107.98</v>
          </cell>
          <cell r="K9" t="str">
            <v>OK</v>
          </cell>
        </row>
        <row r="10">
          <cell r="A10" t="str">
            <v>CIV0005</v>
          </cell>
          <cell r="B10" t="str">
            <v>ANDAIMES TUBULAR  PARA SUSTENTAÇÃO DE PLATAFORMAS</v>
          </cell>
          <cell r="C10" t="str">
            <v>m3</v>
          </cell>
          <cell r="D10">
            <v>16.059999999999999</v>
          </cell>
          <cell r="E10">
            <v>11.93</v>
          </cell>
          <cell r="F10">
            <v>12.16</v>
          </cell>
          <cell r="G10" t="str">
            <v>OK</v>
          </cell>
          <cell r="H10" t="str">
            <v>OK</v>
          </cell>
          <cell r="I10">
            <v>0.7571606475716065</v>
          </cell>
          <cell r="J10">
            <v>11.93</v>
          </cell>
          <cell r="K10" t="str">
            <v>OK</v>
          </cell>
        </row>
        <row r="11">
          <cell r="A11" t="str">
            <v>CIV0006</v>
          </cell>
          <cell r="B11" t="str">
            <v>APICOAMENTO MANUAL DE CONCRETO</v>
          </cell>
          <cell r="C11" t="str">
            <v>m²</v>
          </cell>
          <cell r="D11">
            <v>41.6</v>
          </cell>
          <cell r="E11">
            <v>29.35</v>
          </cell>
          <cell r="F11">
            <v>29.92</v>
          </cell>
          <cell r="G11" t="str">
            <v>OK</v>
          </cell>
          <cell r="H11" t="str">
            <v>OK</v>
          </cell>
          <cell r="I11">
            <v>0.71923076923076923</v>
          </cell>
          <cell r="J11">
            <v>29.35</v>
          </cell>
          <cell r="K11" t="str">
            <v>OK</v>
          </cell>
        </row>
        <row r="12">
          <cell r="A12" t="str">
            <v>CIV0007</v>
          </cell>
          <cell r="B12" t="str">
            <v>APLICAÇÃO DE ARGAMASSA PROJETADA COM CONSUMO MÍNIMO DE 350kg/m3</v>
          </cell>
          <cell r="C12" t="str">
            <v>m3</v>
          </cell>
          <cell r="D12">
            <v>1033.5</v>
          </cell>
          <cell r="E12">
            <v>1033.5</v>
          </cell>
          <cell r="F12">
            <v>1275.33</v>
          </cell>
          <cell r="G12" t="str">
            <v>OK</v>
          </cell>
          <cell r="H12" t="str">
            <v>OK</v>
          </cell>
          <cell r="I12">
            <v>1.2339912917271407</v>
          </cell>
          <cell r="J12">
            <v>1275.33</v>
          </cell>
          <cell r="K12" t="str">
            <v>B</v>
          </cell>
        </row>
        <row r="13">
          <cell r="A13" t="str">
            <v>CIV0008</v>
          </cell>
          <cell r="B13" t="str">
            <v>APLICAÇÃO DE CONCRETO PROJETADO fck 30mpa COM CONSUMO MÍNIMO DE 400kg/m3</v>
          </cell>
          <cell r="C13" t="str">
            <v>m3</v>
          </cell>
          <cell r="D13">
            <v>1144.78</v>
          </cell>
          <cell r="E13">
            <v>1144.78</v>
          </cell>
          <cell r="F13">
            <v>1419.52</v>
          </cell>
          <cell r="G13" t="str">
            <v>OK</v>
          </cell>
          <cell r="H13" t="str">
            <v>OK</v>
          </cell>
          <cell r="I13">
            <v>1.2399937105819459</v>
          </cell>
          <cell r="J13">
            <v>1419.52</v>
          </cell>
          <cell r="K13" t="str">
            <v>B</v>
          </cell>
        </row>
        <row r="14">
          <cell r="A14" t="str">
            <v>CIV0009</v>
          </cell>
          <cell r="B14" t="str">
            <v>APLICAÇÃO DE RESINA EPÓXICA PARA TRATAMENTO DE FISSURA</v>
          </cell>
          <cell r="C14" t="str">
            <v>m²</v>
          </cell>
          <cell r="D14">
            <v>101.87</v>
          </cell>
          <cell r="E14">
            <v>78.23</v>
          </cell>
          <cell r="F14">
            <v>79.75</v>
          </cell>
          <cell r="G14" t="str">
            <v>OK</v>
          </cell>
          <cell r="H14" t="str">
            <v>OK</v>
          </cell>
          <cell r="I14">
            <v>0.78286050849121425</v>
          </cell>
          <cell r="J14">
            <v>78.23</v>
          </cell>
          <cell r="K14" t="str">
            <v>OK</v>
          </cell>
        </row>
        <row r="15">
          <cell r="A15" t="str">
            <v>CIV0010</v>
          </cell>
          <cell r="B15" t="str">
            <v>Aquisição e assentamento de tubos de PVC para dreno corrugado DN = 150mm</v>
          </cell>
          <cell r="C15" t="str">
            <v>m</v>
          </cell>
          <cell r="D15">
            <v>30.4</v>
          </cell>
          <cell r="E15">
            <v>21.45</v>
          </cell>
          <cell r="F15">
            <v>21.87</v>
          </cell>
          <cell r="G15" t="str">
            <v>OK</v>
          </cell>
          <cell r="H15" t="str">
            <v>OK</v>
          </cell>
          <cell r="I15">
            <v>0.71940789473684219</v>
          </cell>
          <cell r="J15">
            <v>21.45</v>
          </cell>
          <cell r="K15" t="str">
            <v>OK</v>
          </cell>
        </row>
        <row r="16">
          <cell r="A16" t="str">
            <v>CIV0011</v>
          </cell>
          <cell r="B16" t="str">
            <v>Aquisição e colocação de escada de marinheiro em aço inox  5,50 com degraus a cada 0,30m</v>
          </cell>
          <cell r="C16" t="str">
            <v xml:space="preserve"> un </v>
          </cell>
          <cell r="D16">
            <v>4121.75</v>
          </cell>
          <cell r="E16">
            <v>3643.7</v>
          </cell>
          <cell r="F16">
            <v>3714.39</v>
          </cell>
          <cell r="G16" t="str">
            <v>OK</v>
          </cell>
          <cell r="H16" t="str">
            <v>OK</v>
          </cell>
          <cell r="I16">
            <v>0.90116819312185359</v>
          </cell>
          <cell r="J16">
            <v>3643.7</v>
          </cell>
          <cell r="K16" t="str">
            <v>OK</v>
          </cell>
        </row>
        <row r="17">
          <cell r="A17" t="str">
            <v>CIV0011A</v>
          </cell>
          <cell r="B17" t="str">
            <v xml:space="preserve">Aquisição e colocação de escada de marinheiro em aço inox, com 2,50m de altura e degrau a cada 0,30m. </v>
          </cell>
          <cell r="C17" t="str">
            <v xml:space="preserve">un </v>
          </cell>
          <cell r="D17">
            <v>1482</v>
          </cell>
          <cell r="E17">
            <v>1277.4100000000001</v>
          </cell>
          <cell r="F17">
            <v>1302.19</v>
          </cell>
          <cell r="G17" t="str">
            <v>OK</v>
          </cell>
          <cell r="H17" t="str">
            <v>OK</v>
          </cell>
          <cell r="I17">
            <v>0.87867071524966267</v>
          </cell>
          <cell r="J17">
            <v>1277.4100000000001</v>
          </cell>
          <cell r="K17" t="str">
            <v>OK</v>
          </cell>
        </row>
        <row r="18">
          <cell r="A18" t="str">
            <v>CIV0012</v>
          </cell>
          <cell r="B18" t="str">
            <v>Areia T. E. = 10mm CD &gt; ou = 1,5</v>
          </cell>
          <cell r="C18" t="str">
            <v>m³</v>
          </cell>
          <cell r="D18">
            <v>279.5</v>
          </cell>
          <cell r="E18">
            <v>265.32</v>
          </cell>
          <cell r="F18">
            <v>270.47000000000003</v>
          </cell>
          <cell r="G18" t="str">
            <v>OK</v>
          </cell>
          <cell r="H18" t="str">
            <v>OK</v>
          </cell>
          <cell r="I18">
            <v>0.96769230769230774</v>
          </cell>
          <cell r="J18">
            <v>265.32</v>
          </cell>
          <cell r="K18" t="str">
            <v>OK</v>
          </cell>
        </row>
        <row r="19">
          <cell r="A19" t="str">
            <v>CIV0013</v>
          </cell>
          <cell r="B19" t="str">
            <v>ARMADURA DE REFORÇO DE VIGAS E PILARES</v>
          </cell>
          <cell r="C19" t="str">
            <v>Kg</v>
          </cell>
          <cell r="D19">
            <v>7.5</v>
          </cell>
          <cell r="E19">
            <v>5.65</v>
          </cell>
          <cell r="F19">
            <v>5.76</v>
          </cell>
          <cell r="G19" t="str">
            <v>OK</v>
          </cell>
          <cell r="H19" t="str">
            <v>OK</v>
          </cell>
          <cell r="I19">
            <v>0.76800000000000002</v>
          </cell>
          <cell r="J19">
            <v>5.65</v>
          </cell>
          <cell r="K19" t="str">
            <v>OK</v>
          </cell>
        </row>
        <row r="20">
          <cell r="A20" t="str">
            <v>CIV0014</v>
          </cell>
          <cell r="B20" t="str">
            <v>ARRANCAMENTO  DE TUBULAÇÃO DN 600mm DE CONCRETO ARMADO</v>
          </cell>
          <cell r="C20" t="str">
            <v>m</v>
          </cell>
          <cell r="D20">
            <v>22.61</v>
          </cell>
          <cell r="E20">
            <v>24.35</v>
          </cell>
          <cell r="F20">
            <v>24.82</v>
          </cell>
          <cell r="G20" t="str">
            <v>OK</v>
          </cell>
          <cell r="H20" t="str">
            <v>OK</v>
          </cell>
          <cell r="I20">
            <v>1.0977443609022557</v>
          </cell>
          <cell r="J20">
            <v>24.35</v>
          </cell>
          <cell r="K20" t="str">
            <v>OK</v>
          </cell>
        </row>
        <row r="21">
          <cell r="A21" t="str">
            <v>CIV0015</v>
          </cell>
          <cell r="B21" t="str">
            <v>Aterro compactado com material aproveitado das escavações do bloco hidráulico, carga, descarga, transporte, espalhamento, umedecimento e compactação para proteção da encosta. 2:3 - a 100% proctor normal DMT=10Km</v>
          </cell>
          <cell r="C21" t="str">
            <v>m3</v>
          </cell>
          <cell r="D21">
            <v>8.23</v>
          </cell>
          <cell r="E21">
            <v>8.23</v>
          </cell>
          <cell r="F21">
            <v>10.19</v>
          </cell>
          <cell r="G21" t="str">
            <v>OK</v>
          </cell>
          <cell r="H21" t="str">
            <v>OK</v>
          </cell>
          <cell r="I21">
            <v>1.238153098420413</v>
          </cell>
          <cell r="J21">
            <v>10.19</v>
          </cell>
          <cell r="K21" t="str">
            <v>B</v>
          </cell>
        </row>
        <row r="22">
          <cell r="A22" t="str">
            <v>CIV0016</v>
          </cell>
          <cell r="B22" t="str">
            <v>Blocos de ancoragem moldados no local em concreto simples com FCK &gt;= 10 Mpa - dosagem empírica</v>
          </cell>
          <cell r="C22" t="str">
            <v>m3</v>
          </cell>
          <cell r="D22">
            <v>389.19</v>
          </cell>
          <cell r="E22">
            <v>389.19</v>
          </cell>
          <cell r="F22">
            <v>481.42</v>
          </cell>
          <cell r="G22" t="str">
            <v>OK</v>
          </cell>
          <cell r="H22" t="str">
            <v>OK</v>
          </cell>
          <cell r="I22">
            <v>1.2369793674040956</v>
          </cell>
          <cell r="J22">
            <v>481.42</v>
          </cell>
          <cell r="K22" t="str">
            <v>B</v>
          </cell>
        </row>
        <row r="23">
          <cell r="A23" t="str">
            <v>CIV0016A</v>
          </cell>
          <cell r="B23" t="str">
            <v>Blocos de ancoragem moldados no local em concreto armado FCK &gt;= 15 MPa - controle "C" - com até 70 kg de ferro</v>
          </cell>
          <cell r="C23" t="str">
            <v>m3</v>
          </cell>
          <cell r="D23">
            <v>939.9</v>
          </cell>
          <cell r="E23">
            <v>939.9</v>
          </cell>
          <cell r="F23">
            <v>1159.83</v>
          </cell>
          <cell r="G23" t="str">
            <v>OK</v>
          </cell>
          <cell r="H23" t="str">
            <v>OK</v>
          </cell>
          <cell r="I23">
            <v>1.2339929779763805</v>
          </cell>
          <cell r="J23">
            <v>1159.83</v>
          </cell>
          <cell r="K23" t="str">
            <v>B</v>
          </cell>
        </row>
        <row r="24">
          <cell r="A24" t="str">
            <v>CIV0017</v>
          </cell>
          <cell r="B24" t="str">
            <v>CADASTRO DE REDE DE ÁGUA</v>
          </cell>
          <cell r="C24" t="str">
            <v>m</v>
          </cell>
          <cell r="D24">
            <v>1.7</v>
          </cell>
          <cell r="E24">
            <v>1.83</v>
          </cell>
          <cell r="F24">
            <v>1.87</v>
          </cell>
          <cell r="G24" t="str">
            <v>OK</v>
          </cell>
          <cell r="H24" t="str">
            <v>OK</v>
          </cell>
          <cell r="I24">
            <v>1.1000000000000001</v>
          </cell>
          <cell r="J24">
            <v>1.83</v>
          </cell>
          <cell r="K24" t="str">
            <v>OK</v>
          </cell>
        </row>
        <row r="25">
          <cell r="A25" t="str">
            <v>CIV0018</v>
          </cell>
          <cell r="B25" t="str">
            <v>CADASTRO TÉCNICO, PADRÃO COMPESA</v>
          </cell>
          <cell r="C25" t="str">
            <v>prancha</v>
          </cell>
          <cell r="D25">
            <v>130</v>
          </cell>
          <cell r="E25">
            <v>91.73</v>
          </cell>
          <cell r="F25">
            <v>93.51</v>
          </cell>
          <cell r="G25" t="str">
            <v>OK</v>
          </cell>
          <cell r="H25" t="str">
            <v>OK</v>
          </cell>
          <cell r="I25">
            <v>0.71930769230769231</v>
          </cell>
          <cell r="J25">
            <v>91.73</v>
          </cell>
          <cell r="K25" t="str">
            <v>OK</v>
          </cell>
        </row>
        <row r="26">
          <cell r="A26" t="str">
            <v>CIV0019</v>
          </cell>
          <cell r="B26" t="str">
            <v>Caiação em parede externa executada em tres demãos</v>
          </cell>
          <cell r="C26" t="str">
            <v>m2</v>
          </cell>
          <cell r="D26">
            <v>3.63</v>
          </cell>
          <cell r="E26">
            <v>2.95</v>
          </cell>
          <cell r="F26">
            <v>3.01</v>
          </cell>
          <cell r="G26" t="str">
            <v>OK</v>
          </cell>
          <cell r="H26" t="str">
            <v>OK</v>
          </cell>
          <cell r="I26">
            <v>0.8292011019283746</v>
          </cell>
          <cell r="J26">
            <v>2.95</v>
          </cell>
          <cell r="K26" t="str">
            <v>OK</v>
          </cell>
        </row>
        <row r="27">
          <cell r="A27" t="str">
            <v>CIV0020</v>
          </cell>
          <cell r="B27" t="str">
            <v>CAIXA PARA REGISTRO DE DESCARGA E VENTOSA, MEDINDO 2,00X2,00X2,50, EM ALVENARIA DE TIJOLOS FURADOS 01 VEZ, COM LAJE DE FUNDO EM CONCRETO SIMPLES(TRAÇO 1:2:4) E LAJE DE TAMPA EM CONCRETO ARMADO (TRAÇO 1:2:4) INCLUSIVE FORNECIMENTO DE TAMPÃO DE FERRO FUNDID</v>
          </cell>
          <cell r="C27" t="str">
            <v>ud</v>
          </cell>
          <cell r="D27">
            <v>2113.67</v>
          </cell>
          <cell r="E27">
            <v>1519.98</v>
          </cell>
          <cell r="F27">
            <v>1549.47</v>
          </cell>
          <cell r="G27" t="str">
            <v>OK</v>
          </cell>
          <cell r="H27" t="str">
            <v>OK</v>
          </cell>
          <cell r="I27">
            <v>0.73307091457039175</v>
          </cell>
          <cell r="J27">
            <v>1519.98</v>
          </cell>
          <cell r="K27" t="str">
            <v>OK</v>
          </cell>
        </row>
        <row r="28">
          <cell r="A28" t="str">
            <v>CIV0021</v>
          </cell>
          <cell r="B28" t="str">
            <v>Revestimento de chapisco para parede  interna ou externa, empregando argamassa de cimento e areia média ou grossa sem peneirar no traço 1:3 com 6 mm de espessura</v>
          </cell>
          <cell r="C28" t="str">
            <v>m²</v>
          </cell>
          <cell r="D28">
            <v>3.38</v>
          </cell>
          <cell r="E28">
            <v>3.64</v>
          </cell>
          <cell r="F28">
            <v>3.71</v>
          </cell>
          <cell r="G28" t="str">
            <v>OK</v>
          </cell>
          <cell r="H28" t="str">
            <v>OK</v>
          </cell>
          <cell r="I28">
            <v>1.0976331360946745</v>
          </cell>
          <cell r="J28">
            <v>3.64</v>
          </cell>
          <cell r="K28" t="str">
            <v>OK</v>
          </cell>
        </row>
        <row r="29">
          <cell r="A29" t="str">
            <v>CIV0022</v>
          </cell>
          <cell r="B29" t="str">
            <v>COBERTA COM CHAPAS ONDULADAS DE FIBROCIMENTO 6MM INCLUSIVE  MADEIRAMENTO</v>
          </cell>
          <cell r="C29" t="str">
            <v>m²</v>
          </cell>
          <cell r="D29">
            <v>44.72</v>
          </cell>
          <cell r="E29">
            <v>48.16</v>
          </cell>
          <cell r="F29">
            <v>49.09</v>
          </cell>
          <cell r="G29" t="str">
            <v>OK</v>
          </cell>
          <cell r="H29" t="str">
            <v>OK</v>
          </cell>
          <cell r="I29">
            <v>1.0977191413237926</v>
          </cell>
          <cell r="J29">
            <v>48.16</v>
          </cell>
          <cell r="K29" t="str">
            <v>OK</v>
          </cell>
        </row>
        <row r="30">
          <cell r="A30" t="str">
            <v>CIV0023</v>
          </cell>
          <cell r="B30" t="str">
            <v>COBERTA COM TELHAS CERÂMICAS TIPO FRANCESA</v>
          </cell>
          <cell r="C30" t="str">
            <v>m²</v>
          </cell>
          <cell r="D30">
            <v>97.51</v>
          </cell>
          <cell r="E30">
            <v>68.8</v>
          </cell>
          <cell r="F30">
            <v>70.13</v>
          </cell>
          <cell r="G30" t="str">
            <v>OK</v>
          </cell>
          <cell r="H30" t="str">
            <v>OK</v>
          </cell>
          <cell r="I30">
            <v>0.71920828632960709</v>
          </cell>
          <cell r="J30">
            <v>68.8</v>
          </cell>
          <cell r="K30" t="str">
            <v>OK</v>
          </cell>
        </row>
        <row r="31">
          <cell r="A31" t="str">
            <v>CIV0024</v>
          </cell>
          <cell r="B31" t="str">
            <v>Concreto armado aparente FCK 40 MPa, controle "A" com consumo mínimo de cimento de 533 kg/m³, com forma de compensado plastificado e escoramento (preparo e lançamento).</v>
          </cell>
          <cell r="C31" t="str">
            <v>m3</v>
          </cell>
          <cell r="D31">
            <v>1708.19</v>
          </cell>
          <cell r="E31">
            <v>1708.19</v>
          </cell>
          <cell r="F31">
            <v>2096.96</v>
          </cell>
          <cell r="G31" t="str">
            <v>OK</v>
          </cell>
          <cell r="H31" t="str">
            <v>OK</v>
          </cell>
          <cell r="I31">
            <v>1.2275917784321415</v>
          </cell>
          <cell r="J31">
            <v>2118.15</v>
          </cell>
          <cell r="K31" t="str">
            <v>B</v>
          </cell>
        </row>
        <row r="32">
          <cell r="A32" t="str">
            <v>CIV0025</v>
          </cell>
          <cell r="B32" t="str">
            <v>CONCRETO ARMADO FCK 20 MPA  COM FORMAS DE MADEIRIT, COM ESCORAMENTO LATERAL  (PREPARO E LANCAMENTO)</v>
          </cell>
          <cell r="C32" t="str">
            <v>m³</v>
          </cell>
          <cell r="D32">
            <v>1545.95</v>
          </cell>
          <cell r="E32">
            <v>1545.95</v>
          </cell>
          <cell r="F32">
            <v>1878.63</v>
          </cell>
          <cell r="G32" t="str">
            <v>OK</v>
          </cell>
          <cell r="H32" t="str">
            <v>OK</v>
          </cell>
          <cell r="I32">
            <v>1.2151945405737572</v>
          </cell>
          <cell r="J32">
            <v>1916.97</v>
          </cell>
          <cell r="K32" t="str">
            <v>B</v>
          </cell>
        </row>
        <row r="33">
          <cell r="A33" t="str">
            <v>CIV0026</v>
          </cell>
          <cell r="B33" t="str">
            <v>CONCRETO ARMADO FCK 30 MPa , CONTROLE "A"  E COM CONSUMO MINIMO DE CIMENTO DE 450 KG/M3, COM FORMAS DE COMPENSADO RESINADO E ESCORAMENTO   (PREPARO E LANÇAMENTO)</v>
          </cell>
          <cell r="C33" t="str">
            <v>m3</v>
          </cell>
          <cell r="D33">
            <v>1596.52</v>
          </cell>
          <cell r="E33">
            <v>1596.52</v>
          </cell>
          <cell r="F33">
            <v>1940.08</v>
          </cell>
          <cell r="G33" t="str">
            <v>OK</v>
          </cell>
          <cell r="H33" t="str">
            <v>OK</v>
          </cell>
          <cell r="I33">
            <v>1.2151930448725978</v>
          </cell>
          <cell r="J33">
            <v>1979.68</v>
          </cell>
          <cell r="K33" t="str">
            <v>B</v>
          </cell>
        </row>
        <row r="34">
          <cell r="A34" t="str">
            <v>CIV0027</v>
          </cell>
          <cell r="B34" t="str">
            <v>Concreto magro 1:4:8</v>
          </cell>
          <cell r="C34" t="str">
            <v>m3</v>
          </cell>
          <cell r="D34">
            <v>197.24</v>
          </cell>
          <cell r="E34">
            <v>212.41</v>
          </cell>
          <cell r="F34">
            <v>216.53</v>
          </cell>
          <cell r="G34" t="str">
            <v>OK</v>
          </cell>
          <cell r="H34" t="str">
            <v>OK</v>
          </cell>
          <cell r="I34">
            <v>1.0977996349624821</v>
          </cell>
          <cell r="J34">
            <v>212.41</v>
          </cell>
          <cell r="K34" t="str">
            <v>OK</v>
          </cell>
        </row>
        <row r="35">
          <cell r="A35" t="str">
            <v>CIV0028A</v>
          </cell>
          <cell r="B35" t="str">
            <v xml:space="preserve">Cadastro Técnico </v>
          </cell>
          <cell r="C35" t="str">
            <v>pranc</v>
          </cell>
          <cell r="D35">
            <v>130</v>
          </cell>
          <cell r="E35">
            <v>139.99</v>
          </cell>
          <cell r="F35">
            <v>142.71</v>
          </cell>
          <cell r="G35" t="str">
            <v>OK</v>
          </cell>
          <cell r="H35" t="str">
            <v>OK</v>
          </cell>
          <cell r="I35">
            <v>1.0977692307692308</v>
          </cell>
          <cell r="J35">
            <v>139.99</v>
          </cell>
          <cell r="K35" t="str">
            <v>OK</v>
          </cell>
        </row>
        <row r="36">
          <cell r="A36" t="str">
            <v>CIV0028B</v>
          </cell>
          <cell r="B36" t="str">
            <v xml:space="preserve">CONFECÇÃO DE CADASTRO TÉCNICO DA OBRA </v>
          </cell>
          <cell r="C36" t="str">
            <v>prancha</v>
          </cell>
          <cell r="D36">
            <v>130</v>
          </cell>
          <cell r="E36">
            <v>139.99</v>
          </cell>
          <cell r="F36">
            <v>142.71</v>
          </cell>
          <cell r="G36" t="str">
            <v>OK</v>
          </cell>
          <cell r="H36" t="str">
            <v>OK</v>
          </cell>
          <cell r="I36">
            <v>1.0977692307692308</v>
          </cell>
          <cell r="J36">
            <v>139.99</v>
          </cell>
          <cell r="K36" t="str">
            <v>OK</v>
          </cell>
        </row>
        <row r="37">
          <cell r="A37" t="str">
            <v>CIV0028C</v>
          </cell>
          <cell r="B37" t="str">
            <v xml:space="preserve">CONFECÇÃO DE CADASTRO TÉCNICO DA OBRA </v>
          </cell>
          <cell r="C37" t="str">
            <v>prancha</v>
          </cell>
          <cell r="D37">
            <v>130</v>
          </cell>
          <cell r="E37">
            <v>139.99</v>
          </cell>
          <cell r="F37">
            <v>142.71</v>
          </cell>
          <cell r="G37" t="str">
            <v>OK</v>
          </cell>
          <cell r="H37" t="str">
            <v>OK</v>
          </cell>
          <cell r="I37">
            <v>1.0977692307692308</v>
          </cell>
          <cell r="J37">
            <v>139.99</v>
          </cell>
          <cell r="K37" t="str">
            <v>OK</v>
          </cell>
        </row>
        <row r="38">
          <cell r="A38" t="str">
            <v>CIV0029</v>
          </cell>
          <cell r="B38" t="str">
            <v>Construção de descida d'água em calha D = 0,30m, pre-moldada, fornecimento e colocação (tipo 2 - DER)</v>
          </cell>
          <cell r="C38" t="str">
            <v>m</v>
          </cell>
          <cell r="D38">
            <v>123.88</v>
          </cell>
          <cell r="E38">
            <v>101.95</v>
          </cell>
          <cell r="F38">
            <v>103.93</v>
          </cell>
          <cell r="G38" t="str">
            <v>OK</v>
          </cell>
          <cell r="H38" t="str">
            <v>OK</v>
          </cell>
          <cell r="I38">
            <v>0.83895705521472397</v>
          </cell>
          <cell r="J38">
            <v>101.95</v>
          </cell>
          <cell r="K38" t="str">
            <v>OK</v>
          </cell>
        </row>
        <row r="39">
          <cell r="A39" t="str">
            <v>CIV0030</v>
          </cell>
          <cell r="B39" t="str">
            <v>Construção de entrada d'água em concreto moldado no local, fck = 11 mpa, traço 1:3:5 (projeto tipo DER)</v>
          </cell>
          <cell r="C39" t="str">
            <v xml:space="preserve">un </v>
          </cell>
          <cell r="D39">
            <v>78.510000000000005</v>
          </cell>
          <cell r="E39">
            <v>55.4</v>
          </cell>
          <cell r="F39">
            <v>56.47</v>
          </cell>
          <cell r="G39" t="str">
            <v>OK</v>
          </cell>
          <cell r="H39" t="str">
            <v>OK</v>
          </cell>
          <cell r="I39">
            <v>0.71927143039103292</v>
          </cell>
          <cell r="J39">
            <v>55.4</v>
          </cell>
          <cell r="K39" t="str">
            <v>OK</v>
          </cell>
        </row>
        <row r="40">
          <cell r="A40" t="str">
            <v>CIV0031</v>
          </cell>
          <cell r="B40" t="str">
            <v>Construção de muretas de pedra argamassada para tubulação</v>
          </cell>
          <cell r="C40" t="str">
            <v>m³</v>
          </cell>
          <cell r="D40">
            <v>192.7</v>
          </cell>
          <cell r="E40">
            <v>207.51</v>
          </cell>
          <cell r="F40">
            <v>211.54</v>
          </cell>
          <cell r="G40" t="str">
            <v>OK</v>
          </cell>
          <cell r="H40" t="str">
            <v>OK</v>
          </cell>
          <cell r="I40">
            <v>1.0977685521536067</v>
          </cell>
          <cell r="J40">
            <v>207.51</v>
          </cell>
          <cell r="K40" t="str">
            <v>OK</v>
          </cell>
        </row>
        <row r="41">
          <cell r="A41" t="str">
            <v>CIV0032</v>
          </cell>
          <cell r="B41" t="str">
            <v>Construção de saída d'água em concreto moldado no local, fck = 11 mpa, traço 1:3:5 (projeto tipo DER)</v>
          </cell>
          <cell r="C41" t="str">
            <v xml:space="preserve">un </v>
          </cell>
          <cell r="D41">
            <v>39.65</v>
          </cell>
          <cell r="E41">
            <v>36.61</v>
          </cell>
          <cell r="F41">
            <v>37.32</v>
          </cell>
          <cell r="G41" t="str">
            <v>OK</v>
          </cell>
          <cell r="H41" t="str">
            <v>OK</v>
          </cell>
          <cell r="I41">
            <v>0.94123581336696094</v>
          </cell>
          <cell r="J41">
            <v>36.61</v>
          </cell>
          <cell r="K41" t="str">
            <v>OK</v>
          </cell>
        </row>
        <row r="42">
          <cell r="A42" t="str">
            <v>CIV0033</v>
          </cell>
          <cell r="B42" t="str">
            <v>CORTE MANUAL OU MECÂNICO DO CONCRETO</v>
          </cell>
          <cell r="C42" t="str">
            <v>m²</v>
          </cell>
          <cell r="D42">
            <v>61.75</v>
          </cell>
          <cell r="E42">
            <v>45.12</v>
          </cell>
          <cell r="F42">
            <v>46</v>
          </cell>
          <cell r="G42" t="str">
            <v>OK</v>
          </cell>
          <cell r="H42" t="str">
            <v>OK</v>
          </cell>
          <cell r="I42">
            <v>0.74493927125506076</v>
          </cell>
          <cell r="J42">
            <v>45.12</v>
          </cell>
          <cell r="K42" t="str">
            <v>OK</v>
          </cell>
        </row>
        <row r="43">
          <cell r="A43" t="str">
            <v>CIV0034</v>
          </cell>
          <cell r="B43" t="str">
            <v>DEMOLIÇÃO DE ALVENARIA DE TIJOLO FURADO COM APROVEITAMENTO</v>
          </cell>
          <cell r="C43" t="str">
            <v xml:space="preserve">M³   </v>
          </cell>
          <cell r="D43">
            <v>38.67</v>
          </cell>
          <cell r="E43">
            <v>38.96</v>
          </cell>
          <cell r="F43">
            <v>39.72</v>
          </cell>
          <cell r="G43" t="str">
            <v>OK</v>
          </cell>
          <cell r="H43" t="str">
            <v>OK</v>
          </cell>
          <cell r="I43">
            <v>1.0271528316524436</v>
          </cell>
          <cell r="J43">
            <v>38.96</v>
          </cell>
          <cell r="K43" t="str">
            <v>OK</v>
          </cell>
        </row>
        <row r="44">
          <cell r="A44" t="str">
            <v>CIV0035</v>
          </cell>
          <cell r="B44" t="str">
            <v>DEMOLIÇÃO DE ALVENARIA DE TIJOLOS MACIÇOS SEM REAPROVEITAMENTO</v>
          </cell>
          <cell r="C44" t="str">
            <v>m³</v>
          </cell>
          <cell r="D44">
            <v>25.024999999999999</v>
          </cell>
          <cell r="E44">
            <v>25.21</v>
          </cell>
          <cell r="F44">
            <v>25.7</v>
          </cell>
          <cell r="G44" t="str">
            <v>OK</v>
          </cell>
          <cell r="H44" t="str">
            <v>OK</v>
          </cell>
          <cell r="I44">
            <v>1.0269730269730271</v>
          </cell>
          <cell r="J44">
            <v>25.21</v>
          </cell>
          <cell r="K44" t="str">
            <v>OK</v>
          </cell>
        </row>
        <row r="45">
          <cell r="A45" t="str">
            <v>CIV0036</v>
          </cell>
          <cell r="B45" t="str">
            <v>DEMOLIÇÃO DE ALVENARIA DE TIJOLO FURADO SEM APROVEITAMENTO</v>
          </cell>
          <cell r="C45" t="str">
            <v xml:space="preserve">M³   </v>
          </cell>
          <cell r="D45">
            <v>19.34</v>
          </cell>
          <cell r="E45">
            <v>19.48</v>
          </cell>
          <cell r="F45">
            <v>19.86</v>
          </cell>
          <cell r="G45" t="str">
            <v>OK</v>
          </cell>
          <cell r="H45" t="str">
            <v>OK</v>
          </cell>
          <cell r="I45">
            <v>1.0268872802481903</v>
          </cell>
          <cell r="J45">
            <v>19.48</v>
          </cell>
          <cell r="K45" t="str">
            <v>OK</v>
          </cell>
        </row>
        <row r="46">
          <cell r="A46" t="str">
            <v>CIV0037</v>
          </cell>
          <cell r="B46" t="str">
            <v>DEMOLIÇÃO DE AZULEJO</v>
          </cell>
          <cell r="C46" t="str">
            <v>m²</v>
          </cell>
          <cell r="D46">
            <v>16.12</v>
          </cell>
          <cell r="E46">
            <v>16.239999999999998</v>
          </cell>
          <cell r="F46">
            <v>16.559999999999999</v>
          </cell>
          <cell r="G46" t="str">
            <v>OK</v>
          </cell>
          <cell r="H46" t="str">
            <v>OK</v>
          </cell>
          <cell r="I46">
            <v>1.0272952853598014</v>
          </cell>
          <cell r="J46">
            <v>16.239999999999998</v>
          </cell>
          <cell r="K46" t="str">
            <v>OK</v>
          </cell>
        </row>
        <row r="47">
          <cell r="A47" t="str">
            <v>CIV0038</v>
          </cell>
          <cell r="B47" t="str">
            <v>DEMOLIÇÃO DE PISO CIMENTADO</v>
          </cell>
          <cell r="C47" t="str">
            <v>m²</v>
          </cell>
          <cell r="D47">
            <v>4.1900000000000004</v>
          </cell>
          <cell r="E47">
            <v>4.22</v>
          </cell>
          <cell r="F47">
            <v>4.3</v>
          </cell>
          <cell r="G47" t="str">
            <v>OK</v>
          </cell>
          <cell r="H47" t="str">
            <v>OK</v>
          </cell>
          <cell r="I47">
            <v>1.0262529832935559</v>
          </cell>
          <cell r="J47">
            <v>4.22</v>
          </cell>
          <cell r="K47" t="str">
            <v>OK</v>
          </cell>
        </row>
        <row r="48">
          <cell r="A48" t="str">
            <v>CIV0039</v>
          </cell>
          <cell r="B48" t="str">
            <v>DEMOLIÇÃO DE COBERTA COM TELHAS ONDULADAS DE FIBROCIMENTO INCLUINDO RETIRADA DAS TELHAS E DA ESTRUTURA DE MADEIRA</v>
          </cell>
          <cell r="C48" t="str">
            <v>m²</v>
          </cell>
          <cell r="D48">
            <v>1.64</v>
          </cell>
          <cell r="E48">
            <v>1.64</v>
          </cell>
          <cell r="F48">
            <v>1.67</v>
          </cell>
          <cell r="G48" t="str">
            <v>OK</v>
          </cell>
          <cell r="H48" t="str">
            <v>OK</v>
          </cell>
          <cell r="I48">
            <v>1.0182926829268293</v>
          </cell>
          <cell r="J48">
            <v>1.64</v>
          </cell>
          <cell r="K48" t="str">
            <v>OK</v>
          </cell>
        </row>
        <row r="49">
          <cell r="A49" t="str">
            <v>CIV0040</v>
          </cell>
          <cell r="B49" t="str">
            <v>DEMOLIÇÃO DE CONCRETO ARMADO (MANUAL)</v>
          </cell>
          <cell r="C49" t="str">
            <v>m³</v>
          </cell>
          <cell r="D49">
            <v>96.69</v>
          </cell>
          <cell r="E49">
            <v>104.12</v>
          </cell>
          <cell r="F49">
            <v>106.14</v>
          </cell>
          <cell r="G49" t="str">
            <v>OK</v>
          </cell>
          <cell r="H49" t="str">
            <v>OK</v>
          </cell>
          <cell r="I49">
            <v>1.0977350294756438</v>
          </cell>
          <cell r="J49">
            <v>104.12</v>
          </cell>
          <cell r="K49" t="str">
            <v>OK</v>
          </cell>
        </row>
        <row r="50">
          <cell r="A50" t="str">
            <v>CIV0041</v>
          </cell>
          <cell r="B50" t="str">
            <v>DEMOLIÇÃO DE CONCRETO SIMPLES (MANUAL)</v>
          </cell>
          <cell r="C50" t="str">
            <v>m³</v>
          </cell>
          <cell r="D50">
            <v>83.798000000000002</v>
          </cell>
          <cell r="E50">
            <v>84.42</v>
          </cell>
          <cell r="F50">
            <v>86.06</v>
          </cell>
          <cell r="G50" t="str">
            <v>OK</v>
          </cell>
          <cell r="H50" t="str">
            <v>OK</v>
          </cell>
          <cell r="I50">
            <v>1.0269934843313684</v>
          </cell>
          <cell r="J50">
            <v>84.42</v>
          </cell>
          <cell r="K50" t="str">
            <v>OK</v>
          </cell>
        </row>
        <row r="51">
          <cell r="A51" t="str">
            <v>CIV0042</v>
          </cell>
          <cell r="B51" t="str">
            <v>DEMOLIÇÃO DE ESTRUTURA DE MADEIRA PARA TELHADO</v>
          </cell>
          <cell r="C51" t="str">
            <v>m²</v>
          </cell>
          <cell r="D51">
            <v>8.3800000000000008</v>
          </cell>
          <cell r="E51">
            <v>8.4700000000000006</v>
          </cell>
          <cell r="F51">
            <v>8.6300000000000008</v>
          </cell>
          <cell r="G51" t="str">
            <v>OK</v>
          </cell>
          <cell r="H51" t="str">
            <v>OK</v>
          </cell>
          <cell r="I51">
            <v>1.0298329355608591</v>
          </cell>
          <cell r="J51">
            <v>8.4700000000000006</v>
          </cell>
          <cell r="K51" t="str">
            <v>OK</v>
          </cell>
        </row>
        <row r="52">
          <cell r="A52" t="str">
            <v>CIV0043</v>
          </cell>
          <cell r="B52" t="str">
            <v>DEMOLIÇÃO DE PAVIMENTAÇÃO ASFÁLTICA COM UTILIZAÇÃO DE MARTELETE PNEUMATICO</v>
          </cell>
          <cell r="C52" t="str">
            <v>m²</v>
          </cell>
          <cell r="D52">
            <v>3.52</v>
          </cell>
          <cell r="E52">
            <v>2.4900000000000002</v>
          </cell>
          <cell r="F52">
            <v>2.54</v>
          </cell>
          <cell r="G52" t="str">
            <v>OK</v>
          </cell>
          <cell r="H52" t="str">
            <v>OK</v>
          </cell>
          <cell r="I52">
            <v>0.72159090909090906</v>
          </cell>
          <cell r="J52">
            <v>2.4900000000000002</v>
          </cell>
          <cell r="K52" t="str">
            <v>OK</v>
          </cell>
        </row>
        <row r="53">
          <cell r="A53" t="str">
            <v>CIV0044</v>
          </cell>
          <cell r="B53" t="str">
            <v>Demolição de pavimentação em paralelepípedo com reaproveitamento</v>
          </cell>
          <cell r="C53" t="str">
            <v>m2</v>
          </cell>
          <cell r="D53">
            <v>5.16</v>
          </cell>
          <cell r="E53">
            <v>5.56</v>
          </cell>
          <cell r="F53">
            <v>5.67</v>
          </cell>
          <cell r="G53" t="str">
            <v>OK</v>
          </cell>
          <cell r="H53" t="str">
            <v>OK</v>
          </cell>
          <cell r="I53">
            <v>1.0988372093023255</v>
          </cell>
          <cell r="J53">
            <v>5.56</v>
          </cell>
          <cell r="K53" t="str">
            <v>OK</v>
          </cell>
        </row>
        <row r="54">
          <cell r="A54" t="str">
            <v>CIV0045</v>
          </cell>
          <cell r="B54" t="str">
            <v>DEMOLIÇÃO DE PISO EM GRANITO</v>
          </cell>
          <cell r="C54" t="str">
            <v>m²</v>
          </cell>
          <cell r="D54">
            <v>4.1900000000000004</v>
          </cell>
          <cell r="E54">
            <v>4.22</v>
          </cell>
          <cell r="F54">
            <v>4.3</v>
          </cell>
          <cell r="G54" t="str">
            <v>OK</v>
          </cell>
          <cell r="H54" t="str">
            <v>OK</v>
          </cell>
          <cell r="I54">
            <v>1.0262529832935559</v>
          </cell>
          <cell r="J54">
            <v>4.22</v>
          </cell>
          <cell r="K54" t="str">
            <v>OK</v>
          </cell>
        </row>
        <row r="55">
          <cell r="A55" t="str">
            <v>CIV0046</v>
          </cell>
          <cell r="B55" t="str">
            <v>DEMOLIÇÃO DE REVESTIMENTO EM ARGAMASSA DE CAL, CIMENTO OU MISTA</v>
          </cell>
          <cell r="C55" t="str">
            <v>m²</v>
          </cell>
          <cell r="D55">
            <v>3.22</v>
          </cell>
          <cell r="E55">
            <v>3.24</v>
          </cell>
          <cell r="F55">
            <v>3.3</v>
          </cell>
          <cell r="G55" t="str">
            <v>OK</v>
          </cell>
          <cell r="H55" t="str">
            <v>OK</v>
          </cell>
          <cell r="I55">
            <v>1.0248447204968942</v>
          </cell>
          <cell r="J55">
            <v>3.24</v>
          </cell>
          <cell r="K55" t="str">
            <v>OK</v>
          </cell>
        </row>
        <row r="56">
          <cell r="A56" t="str">
            <v>CIV0047</v>
          </cell>
          <cell r="B56" t="str">
            <v>Derrubada e destocamento de árvores/ bananeiras</v>
          </cell>
          <cell r="C56" t="str">
            <v>Und</v>
          </cell>
          <cell r="D56">
            <v>36.1</v>
          </cell>
          <cell r="E56">
            <v>38.869999999999997</v>
          </cell>
          <cell r="F56">
            <v>39.619999999999997</v>
          </cell>
          <cell r="G56" t="str">
            <v>OK</v>
          </cell>
          <cell r="H56" t="str">
            <v>OK</v>
          </cell>
          <cell r="I56">
            <v>1.0975069252077561</v>
          </cell>
          <cell r="J56">
            <v>38.869999999999997</v>
          </cell>
          <cell r="K56" t="str">
            <v>OK</v>
          </cell>
        </row>
        <row r="57">
          <cell r="A57" t="str">
            <v>CIV0048</v>
          </cell>
          <cell r="B57" t="str">
            <v>Escavação manual em material de 1ªcategoria até 2,00m de profundidade</v>
          </cell>
          <cell r="C57" t="str">
            <v>m³</v>
          </cell>
          <cell r="D57">
            <v>16.64</v>
          </cell>
          <cell r="E57">
            <v>18.63</v>
          </cell>
          <cell r="F57">
            <v>18.989999999999998</v>
          </cell>
          <cell r="G57" t="str">
            <v>OK</v>
          </cell>
          <cell r="H57" t="str">
            <v>OK</v>
          </cell>
          <cell r="I57">
            <v>1.1412259615384615</v>
          </cell>
          <cell r="J57">
            <v>18.63</v>
          </cell>
          <cell r="K57" t="str">
            <v>OK</v>
          </cell>
        </row>
        <row r="58">
          <cell r="A58" t="str">
            <v>CIV0049</v>
          </cell>
          <cell r="B58" t="str">
            <v>Escavação manual, em campo aberto, em material de 1 e 2 categoria de 2.00 a 4.00m profundidade</v>
          </cell>
          <cell r="C58" t="str">
            <v>m3</v>
          </cell>
          <cell r="D58">
            <v>19.84</v>
          </cell>
          <cell r="E58">
            <v>19.98</v>
          </cell>
          <cell r="F58">
            <v>20.37</v>
          </cell>
          <cell r="G58" t="str">
            <v>OK</v>
          </cell>
          <cell r="H58" t="str">
            <v>OK</v>
          </cell>
          <cell r="I58">
            <v>1.0267137096774195</v>
          </cell>
          <cell r="J58">
            <v>19.98</v>
          </cell>
          <cell r="K58" t="str">
            <v>OK</v>
          </cell>
        </row>
        <row r="59">
          <cell r="A59" t="str">
            <v>CIV0050</v>
          </cell>
          <cell r="B59" t="str">
            <v>Escavação mecanica de vala em material de 1ª categoria até 2,00m de profundidade</v>
          </cell>
          <cell r="C59" t="str">
            <v>m3</v>
          </cell>
          <cell r="D59">
            <v>4.5599999999999996</v>
          </cell>
          <cell r="E59">
            <v>3.34</v>
          </cell>
          <cell r="F59">
            <v>3.4</v>
          </cell>
          <cell r="G59" t="str">
            <v>OK</v>
          </cell>
          <cell r="H59" t="str">
            <v>OK</v>
          </cell>
          <cell r="I59">
            <v>0.7456140350877194</v>
          </cell>
          <cell r="J59">
            <v>3.34</v>
          </cell>
          <cell r="K59" t="str">
            <v>OK</v>
          </cell>
        </row>
        <row r="60">
          <cell r="A60" t="str">
            <v>CIV0051</v>
          </cell>
          <cell r="B60" t="str">
            <v>Escoramento contínuo da vala com pranchas de madeira</v>
          </cell>
          <cell r="C60" t="str">
            <v>m2</v>
          </cell>
          <cell r="D60">
            <v>41.98</v>
          </cell>
          <cell r="E60">
            <v>30.88</v>
          </cell>
          <cell r="F60">
            <v>31.48</v>
          </cell>
          <cell r="G60" t="str">
            <v>OK</v>
          </cell>
          <cell r="H60" t="str">
            <v>OK</v>
          </cell>
          <cell r="I60">
            <v>0.74988089566460225</v>
          </cell>
          <cell r="J60">
            <v>30.88</v>
          </cell>
          <cell r="K60" t="str">
            <v>OK</v>
          </cell>
        </row>
        <row r="61">
          <cell r="A61" t="str">
            <v>CIV0052</v>
          </cell>
          <cell r="B61" t="str">
            <v>ESGOTAMENTO  COM  BOMBA  DE  7,5 HP</v>
          </cell>
          <cell r="C61" t="str">
            <v>h</v>
          </cell>
          <cell r="D61">
            <v>11.77</v>
          </cell>
          <cell r="E61">
            <v>12.07</v>
          </cell>
          <cell r="F61">
            <v>12.3</v>
          </cell>
          <cell r="G61" t="str">
            <v>OK</v>
          </cell>
          <cell r="H61" t="str">
            <v>OK</v>
          </cell>
          <cell r="I61">
            <v>1.0450297366185217</v>
          </cell>
          <cell r="J61">
            <v>12.07</v>
          </cell>
          <cell r="K61" t="str">
            <v>OK</v>
          </cell>
        </row>
        <row r="62">
          <cell r="A62" t="str">
            <v>CIV0053</v>
          </cell>
          <cell r="B62" t="str">
            <v>ESQUADRIA DE ALUMÍNIO ANODIZADO PARA JANELAS TIPO CAIXILHOS DE CORRER, COM BANDEIRA BASCULANTES, VIDROS, INCLUSIVE FORNECIDO E ASSENTAMENTO</v>
          </cell>
          <cell r="C62" t="str">
            <v>m²</v>
          </cell>
          <cell r="D62">
            <v>343.11</v>
          </cell>
          <cell r="E62">
            <v>272.81</v>
          </cell>
          <cell r="F62">
            <v>278.10000000000002</v>
          </cell>
          <cell r="G62" t="str">
            <v>OK</v>
          </cell>
          <cell r="H62" t="str">
            <v>OK</v>
          </cell>
          <cell r="I62">
            <v>0.81052723616332956</v>
          </cell>
          <cell r="J62">
            <v>272.81</v>
          </cell>
          <cell r="K62" t="str">
            <v>OK</v>
          </cell>
        </row>
        <row r="63">
          <cell r="A63" t="str">
            <v>CIV0054</v>
          </cell>
          <cell r="B63" t="str">
            <v>ESQUADRIA DE MADEIRA PARA JANELAS DE ABRIR OU CORRER, SEM VENEZIANAS, VIDROS 4MM, FERRAGENS, INCLUSIVE FORNECIMENTO E ASSENTAMENTO</v>
          </cell>
          <cell r="C63" t="str">
            <v>m²</v>
          </cell>
          <cell r="D63">
            <v>438.92</v>
          </cell>
          <cell r="E63">
            <v>357.53</v>
          </cell>
          <cell r="F63">
            <v>364.47</v>
          </cell>
          <cell r="G63" t="str">
            <v>OK</v>
          </cell>
          <cell r="H63" t="str">
            <v>OK</v>
          </cell>
          <cell r="I63">
            <v>0.83037911236671835</v>
          </cell>
          <cell r="J63">
            <v>357.53</v>
          </cell>
          <cell r="K63" t="str">
            <v>OK</v>
          </cell>
        </row>
        <row r="64">
          <cell r="A64" t="str">
            <v>CIV0055</v>
          </cell>
          <cell r="B64" t="str">
            <v>Execução de cortina atirantada em concreto armado com FCK = 30 Mpa , incluindo forma ,preparo e lançamento conforme especificações do           ( D E N I T)</v>
          </cell>
          <cell r="C64" t="str">
            <v>m³</v>
          </cell>
          <cell r="D64">
            <v>1596.52</v>
          </cell>
          <cell r="E64">
            <v>1168.5999999999999</v>
          </cell>
          <cell r="F64">
            <v>1191.27</v>
          </cell>
          <cell r="G64" t="str">
            <v>OK</v>
          </cell>
          <cell r="H64" t="str">
            <v>OK</v>
          </cell>
          <cell r="I64">
            <v>0.74616666249091779</v>
          </cell>
          <cell r="J64">
            <v>1168.5999999999999</v>
          </cell>
          <cell r="K64" t="str">
            <v>OK</v>
          </cell>
        </row>
        <row r="65">
          <cell r="A65" t="str">
            <v>CIV0056</v>
          </cell>
          <cell r="B65" t="str">
            <v xml:space="preserve">EXECUÇÃO DE FUROS  AO CONCRETO PARA REFORÇO DE VIGAS (2,5X20)cm </v>
          </cell>
          <cell r="C65" t="str">
            <v xml:space="preserve">                ud</v>
          </cell>
          <cell r="D65">
            <v>10.01</v>
          </cell>
          <cell r="E65">
            <v>7.06</v>
          </cell>
          <cell r="F65">
            <v>7.2</v>
          </cell>
          <cell r="G65" t="str">
            <v>OK</v>
          </cell>
          <cell r="H65" t="str">
            <v>OK</v>
          </cell>
          <cell r="I65">
            <v>0.71928071928071935</v>
          </cell>
          <cell r="J65">
            <v>7.06</v>
          </cell>
          <cell r="K65" t="str">
            <v>OK</v>
          </cell>
        </row>
        <row r="66">
          <cell r="A66" t="str">
            <v>CIV0057</v>
          </cell>
          <cell r="B66" t="str">
            <v>EXECUÇÃO DE JUNTA DE DILATAÇÃO COM 2,0CM DE ESPESSURA COM MASTIQUE ELÁSTICO</v>
          </cell>
          <cell r="C66" t="str">
            <v>m</v>
          </cell>
          <cell r="D66">
            <v>80.599999999999994</v>
          </cell>
          <cell r="E66">
            <v>56.87</v>
          </cell>
          <cell r="F66">
            <v>57.97</v>
          </cell>
          <cell r="G66" t="str">
            <v>OK</v>
          </cell>
          <cell r="H66" t="str">
            <v>OK</v>
          </cell>
          <cell r="I66">
            <v>0.71923076923076923</v>
          </cell>
          <cell r="J66">
            <v>56.87</v>
          </cell>
          <cell r="K66" t="str">
            <v>OK</v>
          </cell>
        </row>
        <row r="67">
          <cell r="A67" t="str">
            <v>CIV0058</v>
          </cell>
          <cell r="B67" t="str">
            <v xml:space="preserve">Execução de tirante protendido  para cortina atirantada conforme especificações do (D E N I T) </v>
          </cell>
          <cell r="C67" t="str">
            <v>m</v>
          </cell>
          <cell r="D67">
            <v>15.49</v>
          </cell>
          <cell r="E67">
            <v>16.68</v>
          </cell>
          <cell r="F67">
            <v>17</v>
          </cell>
          <cell r="G67" t="str">
            <v>OK</v>
          </cell>
          <cell r="H67" t="str">
            <v>OK</v>
          </cell>
          <cell r="I67">
            <v>1.0974822466107166</v>
          </cell>
          <cell r="J67">
            <v>16.68</v>
          </cell>
          <cell r="K67" t="str">
            <v>OK</v>
          </cell>
        </row>
        <row r="68">
          <cell r="A68" t="str">
            <v>CIV0059</v>
          </cell>
          <cell r="B68" t="str">
            <v>Execução de valeta de proteção de corte ou aterro com revestimento e seção 0,50m² (Tipo - DER)</v>
          </cell>
          <cell r="C68" t="str">
            <v>m</v>
          </cell>
          <cell r="D68">
            <v>76.459999999999994</v>
          </cell>
          <cell r="E68">
            <v>67.75</v>
          </cell>
          <cell r="F68">
            <v>69.06</v>
          </cell>
          <cell r="G68" t="str">
            <v>OK</v>
          </cell>
          <cell r="H68" t="str">
            <v>OK</v>
          </cell>
          <cell r="I68">
            <v>0.90321736855872359</v>
          </cell>
          <cell r="J68">
            <v>67.75</v>
          </cell>
          <cell r="K68" t="str">
            <v>OK</v>
          </cell>
        </row>
        <row r="69">
          <cell r="A69" t="str">
            <v>CIV0060</v>
          </cell>
          <cell r="B69" t="str">
            <v>Brita nº 1 (25)</v>
          </cell>
          <cell r="C69" t="str">
            <v>m3</v>
          </cell>
          <cell r="D69">
            <v>55.07</v>
          </cell>
          <cell r="E69">
            <v>47.09</v>
          </cell>
          <cell r="F69">
            <v>48</v>
          </cell>
          <cell r="G69" t="str">
            <v>OK</v>
          </cell>
          <cell r="H69" t="str">
            <v>OK</v>
          </cell>
          <cell r="I69">
            <v>0.8716179408026149</v>
          </cell>
          <cell r="J69">
            <v>47.09</v>
          </cell>
          <cell r="K69" t="str">
            <v>OK</v>
          </cell>
        </row>
        <row r="70">
          <cell r="A70" t="str">
            <v>CIV0061</v>
          </cell>
          <cell r="B70" t="str">
            <v xml:space="preserve">FORNECIMENTO E ASSENTAMENTO DE TELA QC196 INCLUSIVE PINOS </v>
          </cell>
          <cell r="C70" t="str">
            <v>m²</v>
          </cell>
          <cell r="D70">
            <v>46.02</v>
          </cell>
          <cell r="E70">
            <v>33.11</v>
          </cell>
          <cell r="F70">
            <v>33.75</v>
          </cell>
          <cell r="G70" t="str">
            <v>OK</v>
          </cell>
          <cell r="H70" t="str">
            <v>OK</v>
          </cell>
          <cell r="I70">
            <v>0.7333767926988265</v>
          </cell>
          <cell r="J70">
            <v>33.11</v>
          </cell>
          <cell r="K70" t="str">
            <v>OK</v>
          </cell>
        </row>
        <row r="71">
          <cell r="A71" t="str">
            <v>CIV0062</v>
          </cell>
          <cell r="B71" t="str">
            <v>Areia T. E. = 10mm CD &gt; ou = 1,5</v>
          </cell>
          <cell r="C71" t="str">
            <v>m3</v>
          </cell>
          <cell r="D71">
            <v>279.5</v>
          </cell>
          <cell r="E71">
            <v>282.51</v>
          </cell>
          <cell r="F71">
            <v>287.99</v>
          </cell>
          <cell r="G71" t="str">
            <v>OK</v>
          </cell>
          <cell r="H71" t="str">
            <v>OK</v>
          </cell>
          <cell r="I71">
            <v>1.0303756708407872</v>
          </cell>
          <cell r="J71">
            <v>282.51</v>
          </cell>
          <cell r="K71" t="str">
            <v>OK</v>
          </cell>
        </row>
        <row r="72">
          <cell r="A72" t="str">
            <v>CIV0063</v>
          </cell>
          <cell r="B72" t="str">
            <v xml:space="preserve">FORNECIMENTO E COLOCAÇÃO DE SEIXOS ROLADOS VARIANDO DE 1 1/2 A 3 1/16" </v>
          </cell>
          <cell r="C72" t="str">
            <v xml:space="preserve">M³   </v>
          </cell>
          <cell r="D72">
            <v>338</v>
          </cell>
          <cell r="E72">
            <v>272.31</v>
          </cell>
          <cell r="F72">
            <v>277.58999999999997</v>
          </cell>
          <cell r="G72" t="str">
            <v>OK</v>
          </cell>
          <cell r="H72" t="str">
            <v>OK</v>
          </cell>
          <cell r="I72">
            <v>0.82127218934911239</v>
          </cell>
          <cell r="J72">
            <v>272.31</v>
          </cell>
          <cell r="K72" t="str">
            <v>OK</v>
          </cell>
        </row>
        <row r="73">
          <cell r="A73" t="str">
            <v>CIV0064</v>
          </cell>
          <cell r="B73" t="str">
            <v>Fornecimento e instalação de escada tipo marinheiro externa em degraus de ferro ( Ø e=3/4") chumbados na parede, revestida com pintura anticorrosiva, conforme padrão COMPESA.</v>
          </cell>
          <cell r="C73" t="str">
            <v>Kg</v>
          </cell>
          <cell r="D73">
            <v>7.5</v>
          </cell>
          <cell r="E73">
            <v>8.08</v>
          </cell>
          <cell r="F73">
            <v>8.24</v>
          </cell>
          <cell r="G73" t="str">
            <v>OK</v>
          </cell>
          <cell r="H73" t="str">
            <v>OK</v>
          </cell>
          <cell r="I73">
            <v>1.0986666666666667</v>
          </cell>
          <cell r="J73">
            <v>8.08</v>
          </cell>
          <cell r="K73" t="str">
            <v>OK</v>
          </cell>
        </row>
        <row r="74">
          <cell r="A74" t="str">
            <v>CIV0065</v>
          </cell>
          <cell r="B74" t="str">
            <v>Confecçao e montagem de Guarda - corpo em tubos galvanizados com ponta lisa de 1 1/2",  galvanizado inclusive pintura com esmalte sintético em duas demãos com fundo anti-corrosivo conforme padrão COMPESA</v>
          </cell>
          <cell r="C74" t="str">
            <v>m</v>
          </cell>
          <cell r="D74">
            <v>145.35</v>
          </cell>
          <cell r="E74">
            <v>143.07</v>
          </cell>
          <cell r="F74">
            <v>145.85</v>
          </cell>
          <cell r="G74" t="str">
            <v>OK</v>
          </cell>
          <cell r="H74" t="str">
            <v>OK</v>
          </cell>
          <cell r="I74">
            <v>1.0034399724802201</v>
          </cell>
          <cell r="J74">
            <v>143.07</v>
          </cell>
          <cell r="K74" t="str">
            <v>OK</v>
          </cell>
        </row>
        <row r="75">
          <cell r="A75" t="str">
            <v>CIV0066</v>
          </cell>
          <cell r="B75" t="str">
            <v>GALERIA DE TUBO DE CONCRETO CA1 DN=0,80M, INCLUSIVE ESCAVAÇÃO MANUAL DE VALAS ATÉ 1,50M DE PROFUNDIDADE, REATERRO COMPACTADO, REMOÇÃO DO MATERIAL EXCEDENTE E AINDA FORNECIMENTO DO MATERIAL E ASSENTAMENTO DOS TUBOS</v>
          </cell>
          <cell r="C75" t="str">
            <v>m</v>
          </cell>
          <cell r="D75">
            <v>256.24</v>
          </cell>
          <cell r="E75">
            <v>231.26</v>
          </cell>
          <cell r="F75">
            <v>235.75</v>
          </cell>
          <cell r="G75" t="str">
            <v>OK</v>
          </cell>
          <cell r="H75" t="str">
            <v>OK</v>
          </cell>
          <cell r="I75">
            <v>0.92003590384014977</v>
          </cell>
          <cell r="J75">
            <v>231.26</v>
          </cell>
          <cell r="K75" t="str">
            <v>OK</v>
          </cell>
        </row>
        <row r="76">
          <cell r="A76" t="str">
            <v>CIV0067</v>
          </cell>
          <cell r="B76" t="str">
            <v>IMPERMEABILIZAÇÃO COM  APLICAÇÃO DE TINTA ASFÁLTICA PARA CONCRETO, ALVENARIA, METAIS E MADEIRAS (IGOL A, NEUTROL, OU SIMILAR) EM DUAS DEMÃOS</v>
          </cell>
          <cell r="C76" t="str">
            <v>m²</v>
          </cell>
          <cell r="D76">
            <v>4.9000000000000004</v>
          </cell>
          <cell r="E76">
            <v>5.28</v>
          </cell>
          <cell r="F76">
            <v>5.38</v>
          </cell>
          <cell r="G76" t="str">
            <v>OK</v>
          </cell>
          <cell r="H76" t="str">
            <v>OK</v>
          </cell>
          <cell r="I76">
            <v>1.0979591836734692</v>
          </cell>
          <cell r="J76">
            <v>5.28</v>
          </cell>
          <cell r="K76" t="str">
            <v>OK</v>
          </cell>
        </row>
        <row r="77">
          <cell r="A77" t="str">
            <v>CIV0068</v>
          </cell>
          <cell r="B77" t="str">
            <v>Impermeabilização com aplicação de tinta asfáltica para concreto,alvenaria,metais e madeiras (Igol A, Neutrol ou similar), em duas demãos</v>
          </cell>
          <cell r="C77" t="str">
            <v>m2</v>
          </cell>
          <cell r="D77">
            <v>4.9000000000000004</v>
          </cell>
          <cell r="E77">
            <v>5.28</v>
          </cell>
          <cell r="F77">
            <v>5.38</v>
          </cell>
          <cell r="G77" t="str">
            <v>OK</v>
          </cell>
          <cell r="H77" t="str">
            <v>OK</v>
          </cell>
          <cell r="I77">
            <v>1.0979591836734692</v>
          </cell>
          <cell r="J77">
            <v>5.28</v>
          </cell>
          <cell r="K77" t="str">
            <v>OK</v>
          </cell>
        </row>
        <row r="78">
          <cell r="A78" t="str">
            <v>CIV0069</v>
          </cell>
          <cell r="B78" t="str">
            <v>Medidor de nível ultrassônico</v>
          </cell>
          <cell r="C78" t="str">
            <v xml:space="preserve"> un </v>
          </cell>
          <cell r="D78">
            <v>4000</v>
          </cell>
          <cell r="E78">
            <v>2822.4</v>
          </cell>
          <cell r="F78">
            <v>2877.15</v>
          </cell>
          <cell r="G78" t="str">
            <v>OK</v>
          </cell>
          <cell r="H78" t="str">
            <v>OK</v>
          </cell>
          <cell r="I78">
            <v>0.71928749999999997</v>
          </cell>
          <cell r="J78">
            <v>2822.4</v>
          </cell>
          <cell r="K78" t="str">
            <v>OK</v>
          </cell>
        </row>
        <row r="79">
          <cell r="A79" t="str">
            <v>CIV0070</v>
          </cell>
          <cell r="B79" t="str">
            <v>INSTALAÇÃO DAS GUIAS E GUARDA- COMPORTAS</v>
          </cell>
          <cell r="C79" t="str">
            <v>vb</v>
          </cell>
          <cell r="D79">
            <v>130</v>
          </cell>
          <cell r="E79">
            <v>114.25</v>
          </cell>
          <cell r="F79">
            <v>116.47</v>
          </cell>
          <cell r="G79" t="str">
            <v>OK</v>
          </cell>
          <cell r="H79" t="str">
            <v>OK</v>
          </cell>
          <cell r="I79">
            <v>0.89592307692307693</v>
          </cell>
          <cell r="J79">
            <v>114.25</v>
          </cell>
          <cell r="K79" t="str">
            <v>OK</v>
          </cell>
        </row>
        <row r="80">
          <cell r="A80" t="str">
            <v>CIV0071</v>
          </cell>
          <cell r="B80" t="str">
            <v>JATO D´ÁGUA E AREIA</v>
          </cell>
          <cell r="C80" t="str">
            <v>m²</v>
          </cell>
          <cell r="D80">
            <v>21.71</v>
          </cell>
          <cell r="E80">
            <v>23.38</v>
          </cell>
          <cell r="F80">
            <v>23.83</v>
          </cell>
          <cell r="G80" t="str">
            <v>OK</v>
          </cell>
          <cell r="H80" t="str">
            <v>OK</v>
          </cell>
          <cell r="I80">
            <v>1.09765085214187</v>
          </cell>
          <cell r="J80">
            <v>23.38</v>
          </cell>
          <cell r="K80" t="str">
            <v>OK</v>
          </cell>
        </row>
        <row r="81">
          <cell r="A81" t="str">
            <v>CIV0072</v>
          </cell>
          <cell r="B81" t="str">
            <v>Junta de dilatação do tipo 0 - 22 ou similar Jeene/ Neoprex para estrutura de concreto</v>
          </cell>
          <cell r="C81" t="str">
            <v>m</v>
          </cell>
          <cell r="D81">
            <v>74.69</v>
          </cell>
          <cell r="E81">
            <v>74.69</v>
          </cell>
          <cell r="F81">
            <v>76.14</v>
          </cell>
          <cell r="G81" t="str">
            <v>OK</v>
          </cell>
          <cell r="H81" t="str">
            <v>OK</v>
          </cell>
          <cell r="I81">
            <v>1.019413576114607</v>
          </cell>
          <cell r="J81">
            <v>32.729999999999997</v>
          </cell>
          <cell r="K81" t="str">
            <v>OK</v>
          </cell>
        </row>
        <row r="82">
          <cell r="A82" t="str">
            <v>CIV0073</v>
          </cell>
          <cell r="B82" t="str">
            <v xml:space="preserve">LAVAGEM, CLASSIFICAÇÃO E RECOLOCAÇÃO DE SEIXOS RETIRADOS DOS FILTROS  </v>
          </cell>
          <cell r="C82" t="str">
            <v xml:space="preserve">M³   </v>
          </cell>
          <cell r="D82">
            <v>75.47</v>
          </cell>
          <cell r="E82">
            <v>81.27</v>
          </cell>
          <cell r="F82">
            <v>82.85</v>
          </cell>
          <cell r="G82" t="str">
            <v>OK</v>
          </cell>
          <cell r="H82" t="str">
            <v>OK</v>
          </cell>
          <cell r="I82">
            <v>1.0977872002120048</v>
          </cell>
          <cell r="J82">
            <v>81.27</v>
          </cell>
          <cell r="K82" t="str">
            <v>OK</v>
          </cell>
        </row>
        <row r="83">
          <cell r="A83" t="str">
            <v>CIV0074</v>
          </cell>
          <cell r="B83" t="str">
            <v>LIMPEZA MECANIZADA DO TERRENO</v>
          </cell>
          <cell r="C83" t="str">
            <v>m2</v>
          </cell>
          <cell r="D83">
            <v>0.18</v>
          </cell>
          <cell r="E83">
            <v>0.18</v>
          </cell>
          <cell r="F83">
            <v>0.18</v>
          </cell>
          <cell r="G83" t="str">
            <v>OK</v>
          </cell>
          <cell r="H83" t="str">
            <v>OK</v>
          </cell>
          <cell r="I83">
            <v>1</v>
          </cell>
          <cell r="J83">
            <v>1.54</v>
          </cell>
          <cell r="K83" t="str">
            <v>OK</v>
          </cell>
        </row>
        <row r="84">
          <cell r="A84" t="str">
            <v>CIV0075</v>
          </cell>
          <cell r="B84" t="str">
            <v>Locação da Obra</v>
          </cell>
          <cell r="C84" t="str">
            <v>m²</v>
          </cell>
          <cell r="D84">
            <v>3.93</v>
          </cell>
          <cell r="E84">
            <v>3.29</v>
          </cell>
          <cell r="F84">
            <v>3.35</v>
          </cell>
          <cell r="G84" t="str">
            <v>OK</v>
          </cell>
          <cell r="H84" t="str">
            <v>OK</v>
          </cell>
          <cell r="I84">
            <v>0.8524173027989822</v>
          </cell>
          <cell r="J84">
            <v>3.29</v>
          </cell>
          <cell r="K84" t="str">
            <v>OK</v>
          </cell>
        </row>
        <row r="85">
          <cell r="A85" t="str">
            <v>CIV0076</v>
          </cell>
          <cell r="B85" t="str">
            <v>Locação e nivelamento de valas para adutora com uso de equipamentos topógráficos</v>
          </cell>
          <cell r="C85" t="str">
            <v>m</v>
          </cell>
          <cell r="D85">
            <v>1.78</v>
          </cell>
          <cell r="E85">
            <v>1.64</v>
          </cell>
          <cell r="F85">
            <v>1.67</v>
          </cell>
          <cell r="G85" t="str">
            <v>OK</v>
          </cell>
          <cell r="H85" t="str">
            <v>OK</v>
          </cell>
          <cell r="I85">
            <v>0.9382022471910112</v>
          </cell>
          <cell r="J85">
            <v>1.64</v>
          </cell>
          <cell r="K85" t="str">
            <v>OK</v>
          </cell>
        </row>
        <row r="86">
          <cell r="A86" t="str">
            <v>CIV0077</v>
          </cell>
          <cell r="B86" t="str">
            <v>Fornecimento e aplicação de geotêxtil não tecido para drenos (densidade de 300g/m² / resistência bidirecional de 20 KN/m)</v>
          </cell>
          <cell r="C86" t="str">
            <v>m²</v>
          </cell>
          <cell r="D86">
            <v>15.24</v>
          </cell>
          <cell r="E86">
            <v>10.75</v>
          </cell>
          <cell r="F86">
            <v>10.96</v>
          </cell>
          <cell r="G86" t="str">
            <v>OK</v>
          </cell>
          <cell r="H86" t="str">
            <v>OK</v>
          </cell>
          <cell r="I86">
            <v>0.71916010498687666</v>
          </cell>
          <cell r="J86">
            <v>10.75</v>
          </cell>
          <cell r="K86" t="str">
            <v>OK</v>
          </cell>
        </row>
        <row r="87">
          <cell r="A87" t="str">
            <v>CIV0078</v>
          </cell>
          <cell r="B87" t="str">
            <v>Impermeabilização com argamassa de cimento e areia no traço 1:3 com aditivo impermeabilizante</v>
          </cell>
          <cell r="C87" t="str">
            <v>m2</v>
          </cell>
          <cell r="D87">
            <v>31.21</v>
          </cell>
          <cell r="E87">
            <v>23.48</v>
          </cell>
          <cell r="F87">
            <v>23.94</v>
          </cell>
          <cell r="G87" t="str">
            <v>OK</v>
          </cell>
          <cell r="H87" t="str">
            <v>OK</v>
          </cell>
          <cell r="I87">
            <v>0.7670618391541173</v>
          </cell>
          <cell r="J87">
            <v>23.48</v>
          </cell>
          <cell r="K87" t="str">
            <v>OK</v>
          </cell>
        </row>
        <row r="88">
          <cell r="A88" t="str">
            <v>CIV0079</v>
          </cell>
          <cell r="B88" t="str">
            <v>Muro com embasamento de 50 cm e altura da alvenaria de elevação de 1,80m com colunas espaçadas de 3 em 3 metros, inclusive escavação, reaterro, remoção de material escavado, concreto magro, chapisco, massa única e caiação.</v>
          </cell>
          <cell r="C88" t="str">
            <v>m</v>
          </cell>
          <cell r="D88">
            <v>161.80000000000001</v>
          </cell>
          <cell r="E88">
            <v>174.23</v>
          </cell>
          <cell r="F88">
            <v>177.61</v>
          </cell>
          <cell r="G88" t="str">
            <v>OK</v>
          </cell>
          <cell r="H88" t="str">
            <v>OK</v>
          </cell>
          <cell r="I88">
            <v>1.0977132262051916</v>
          </cell>
          <cell r="J88">
            <v>174.23</v>
          </cell>
          <cell r="K88" t="str">
            <v>OK</v>
          </cell>
        </row>
        <row r="89">
          <cell r="A89" t="str">
            <v>CIV0080</v>
          </cell>
          <cell r="B89" t="str">
            <v>PINTURA A ESMALTE SINTÉTICO EM DUAS DEMÃOS, SOBRE ESQUADRIA DE MADEIRA COM APARELHAMENTO, EMASSAMENTO E LIXAMENTO</v>
          </cell>
          <cell r="C89" t="str">
            <v>m²</v>
          </cell>
          <cell r="D89">
            <v>17.54</v>
          </cell>
          <cell r="E89">
            <v>18.88</v>
          </cell>
          <cell r="F89">
            <v>19.25</v>
          </cell>
          <cell r="G89" t="str">
            <v>OK</v>
          </cell>
          <cell r="H89" t="str">
            <v>OK</v>
          </cell>
          <cell r="I89">
            <v>1.0974914481185862</v>
          </cell>
          <cell r="J89">
            <v>18.88</v>
          </cell>
          <cell r="K89" t="str">
            <v>OK</v>
          </cell>
        </row>
        <row r="90">
          <cell r="A90" t="str">
            <v>CIV0081</v>
          </cell>
          <cell r="B90" t="str">
            <v>PINTURA A ESMALTE SINTÉTICO EM DUAS DEMÃOS, SOBRE ESQUADRIAS DE FERRO E TUBULAÇÕES COM LIXAMENTO INCLUSIVE ZARCÃO</v>
          </cell>
          <cell r="C90" t="str">
            <v>m²</v>
          </cell>
          <cell r="D90">
            <v>14.77</v>
          </cell>
          <cell r="E90">
            <v>15.9</v>
          </cell>
          <cell r="F90">
            <v>16.21</v>
          </cell>
          <cell r="G90" t="str">
            <v>OK</v>
          </cell>
          <cell r="H90" t="str">
            <v>OK</v>
          </cell>
          <cell r="I90">
            <v>1.0974949221394721</v>
          </cell>
          <cell r="J90">
            <v>15.9</v>
          </cell>
          <cell r="K90" t="str">
            <v>OK</v>
          </cell>
        </row>
        <row r="91">
          <cell r="A91" t="str">
            <v>CIV0082</v>
          </cell>
          <cell r="B91" t="str">
            <v>Pintura asfáltica</v>
          </cell>
          <cell r="C91" t="str">
            <v>m2</v>
          </cell>
          <cell r="D91">
            <v>1.83</v>
          </cell>
          <cell r="E91">
            <v>1.72</v>
          </cell>
          <cell r="F91">
            <v>1.75</v>
          </cell>
          <cell r="G91" t="str">
            <v>OK</v>
          </cell>
          <cell r="H91" t="str">
            <v>OK</v>
          </cell>
          <cell r="I91">
            <v>0.95628415300546443</v>
          </cell>
          <cell r="J91">
            <v>1.72</v>
          </cell>
          <cell r="K91" t="str">
            <v>OK</v>
          </cell>
        </row>
        <row r="92">
          <cell r="A92" t="str">
            <v>CIV0083</v>
          </cell>
          <cell r="B92" t="str">
            <v>PINTURA DE  PAREDE EXTERNA COM TINTA PVA LÁTEX ACRÍLICA PARA EXTERIOR EM DUAS DEMÃOS CONTENDO EMASSAMENTO</v>
          </cell>
          <cell r="C92" t="str">
            <v>m²</v>
          </cell>
          <cell r="D92">
            <v>9.0500000000000007</v>
          </cell>
          <cell r="E92">
            <v>9.74</v>
          </cell>
          <cell r="F92">
            <v>9.93</v>
          </cell>
          <cell r="G92" t="str">
            <v>OK</v>
          </cell>
          <cell r="H92" t="str">
            <v>OK</v>
          </cell>
          <cell r="I92">
            <v>1.0972375690607734</v>
          </cell>
          <cell r="J92">
            <v>9.74</v>
          </cell>
          <cell r="K92" t="str">
            <v>OK</v>
          </cell>
        </row>
        <row r="93">
          <cell r="A93" t="str">
            <v>CIV0083A</v>
          </cell>
          <cell r="B93" t="str">
            <v>Pintura em paredes externas com tinta látex a base de PVA 2 demãos</v>
          </cell>
          <cell r="C93" t="str">
            <v>m²</v>
          </cell>
          <cell r="D93">
            <v>9.0500000000000007</v>
          </cell>
          <cell r="E93">
            <v>8.19</v>
          </cell>
          <cell r="F93">
            <v>8.35</v>
          </cell>
          <cell r="G93" t="str">
            <v>OK</v>
          </cell>
          <cell r="H93" t="str">
            <v>OK</v>
          </cell>
          <cell r="I93">
            <v>0.92265193370165732</v>
          </cell>
          <cell r="J93">
            <v>8.19</v>
          </cell>
          <cell r="K93" t="str">
            <v>OK</v>
          </cell>
        </row>
        <row r="94">
          <cell r="A94" t="str">
            <v>CIV0084</v>
          </cell>
          <cell r="B94" t="str">
            <v>PINTURA DE PAREDE EXTERNA COM TINTA PVA LÁTEX ACRILICA EM DUAS DEMÃOS CONTENDO EMASSAMENTO</v>
          </cell>
          <cell r="C94" t="str">
            <v>m²</v>
          </cell>
          <cell r="D94">
            <v>9.0500000000000007</v>
          </cell>
          <cell r="E94">
            <v>9.74</v>
          </cell>
          <cell r="F94">
            <v>9.93</v>
          </cell>
          <cell r="G94" t="str">
            <v>OK</v>
          </cell>
          <cell r="H94" t="str">
            <v>OK</v>
          </cell>
          <cell r="I94">
            <v>1.0972375690607734</v>
          </cell>
          <cell r="J94">
            <v>9.74</v>
          </cell>
          <cell r="K94" t="str">
            <v>OK</v>
          </cell>
        </row>
        <row r="95">
          <cell r="A95" t="str">
            <v>CIV0085</v>
          </cell>
          <cell r="B95" t="str">
            <v>PINTURA DE PAREDE INTERNA COM TINTA LÁTEX A BASE PVA EM DUAS DEMÃOS CONTENDO EMASSAMENTO</v>
          </cell>
          <cell r="C95" t="str">
            <v>m²</v>
          </cell>
          <cell r="D95">
            <v>6.99</v>
          </cell>
          <cell r="E95">
            <v>7.53</v>
          </cell>
          <cell r="F95">
            <v>7.68</v>
          </cell>
          <cell r="G95" t="str">
            <v>OK</v>
          </cell>
          <cell r="H95" t="str">
            <v>OK</v>
          </cell>
          <cell r="I95">
            <v>1.0987124463519313</v>
          </cell>
          <cell r="J95">
            <v>7.53</v>
          </cell>
          <cell r="K95" t="str">
            <v>OK</v>
          </cell>
        </row>
        <row r="96">
          <cell r="A96" t="str">
            <v>CIV0086</v>
          </cell>
          <cell r="B96" t="str">
            <v>Abertura de letreiro com logotipo</v>
          </cell>
          <cell r="C96" t="str">
            <v>m²</v>
          </cell>
          <cell r="D96">
            <v>27.21</v>
          </cell>
          <cell r="E96">
            <v>29.3</v>
          </cell>
          <cell r="F96">
            <v>29.87</v>
          </cell>
          <cell r="G96" t="str">
            <v>OK</v>
          </cell>
          <cell r="H96" t="str">
            <v>OK</v>
          </cell>
          <cell r="I96">
            <v>1.0977581771407572</v>
          </cell>
          <cell r="J96">
            <v>29.3</v>
          </cell>
          <cell r="K96" t="str">
            <v>OK</v>
          </cell>
        </row>
        <row r="97">
          <cell r="A97" t="str">
            <v>CIV0087</v>
          </cell>
          <cell r="B97" t="str">
            <v>Pintura super concretina</v>
          </cell>
          <cell r="C97" t="str">
            <v>m²</v>
          </cell>
          <cell r="D97">
            <v>9.19</v>
          </cell>
          <cell r="E97">
            <v>8.35</v>
          </cell>
          <cell r="F97">
            <v>8.51</v>
          </cell>
          <cell r="G97" t="str">
            <v>OK</v>
          </cell>
          <cell r="H97" t="str">
            <v>OK</v>
          </cell>
          <cell r="I97">
            <v>0.92600652883569101</v>
          </cell>
          <cell r="J97">
            <v>8.35</v>
          </cell>
          <cell r="K97" t="str">
            <v>OK</v>
          </cell>
        </row>
        <row r="98">
          <cell r="A98" t="str">
            <v>CIV0088</v>
          </cell>
          <cell r="B98" t="str">
            <v>Piso cimentado 1:3</v>
          </cell>
          <cell r="C98" t="str">
            <v>m2</v>
          </cell>
          <cell r="D98">
            <v>20.88</v>
          </cell>
          <cell r="E98">
            <v>22.48</v>
          </cell>
          <cell r="F98">
            <v>22.92</v>
          </cell>
          <cell r="G98" t="str">
            <v>OK</v>
          </cell>
          <cell r="H98" t="str">
            <v>OK</v>
          </cell>
          <cell r="I98">
            <v>1.0977011494252875</v>
          </cell>
          <cell r="J98">
            <v>22.48</v>
          </cell>
          <cell r="K98" t="str">
            <v>OK</v>
          </cell>
        </row>
        <row r="99">
          <cell r="A99" t="str">
            <v>CIV0089</v>
          </cell>
          <cell r="B99" t="str">
            <v>PISO RÚSTICO DE CONCRETO RIPADO</v>
          </cell>
          <cell r="C99" t="str">
            <v>m²</v>
          </cell>
          <cell r="D99">
            <v>19.75</v>
          </cell>
          <cell r="E99">
            <v>20.350000000000001</v>
          </cell>
          <cell r="F99">
            <v>20.74</v>
          </cell>
          <cell r="G99" t="str">
            <v>OK</v>
          </cell>
          <cell r="H99" t="str">
            <v>OK</v>
          </cell>
          <cell r="I99">
            <v>1.0501265822784809</v>
          </cell>
          <cell r="J99">
            <v>20.350000000000001</v>
          </cell>
          <cell r="K99" t="str">
            <v>OK</v>
          </cell>
        </row>
        <row r="100">
          <cell r="A100" t="str">
            <v>CIV0090</v>
          </cell>
          <cell r="B100" t="str">
            <v>PLATAFORMA DE MADEIRA COM MADEIRIT E LONA PLÁSTICA LATERALMENTE, INCLUSIVE TAPUMES VERTICAIS COM REAPROVEITAMENTO</v>
          </cell>
          <cell r="C100" t="str">
            <v>m²</v>
          </cell>
          <cell r="D100">
            <v>7.28</v>
          </cell>
          <cell r="E100">
            <v>7.84</v>
          </cell>
          <cell r="F100">
            <v>7.99</v>
          </cell>
          <cell r="G100" t="str">
            <v>OK</v>
          </cell>
          <cell r="H100" t="str">
            <v>OK</v>
          </cell>
          <cell r="I100">
            <v>1.0975274725274726</v>
          </cell>
          <cell r="J100">
            <v>7.84</v>
          </cell>
          <cell r="K100" t="str">
            <v>OK</v>
          </cell>
        </row>
        <row r="101">
          <cell r="A101" t="str">
            <v>CIV0091</v>
          </cell>
          <cell r="B101" t="str">
            <v>POLIMENTO EM PISO DE GRANITO</v>
          </cell>
          <cell r="C101" t="str">
            <v>m²</v>
          </cell>
          <cell r="D101">
            <v>3.25</v>
          </cell>
          <cell r="E101">
            <v>3.5</v>
          </cell>
          <cell r="F101">
            <v>3.57</v>
          </cell>
          <cell r="G101" t="str">
            <v>OK</v>
          </cell>
          <cell r="H101" t="str">
            <v>OK</v>
          </cell>
          <cell r="I101">
            <v>1.0984615384615384</v>
          </cell>
          <cell r="J101">
            <v>3.5</v>
          </cell>
          <cell r="K101" t="str">
            <v>OK</v>
          </cell>
        </row>
        <row r="102">
          <cell r="A102" t="str">
            <v>CIV0092</v>
          </cell>
          <cell r="B102" t="str">
            <v>PONTO DE AGUA PARA VASO SANITARIO DE LOUÇA BRANCA COM TAMPA PLASTICA E CAIXA DE DESCARGA PÁSTICA E ACESSORIOS CORRESPONDENTES</v>
          </cell>
          <cell r="C102" t="str">
            <v>ud</v>
          </cell>
          <cell r="D102">
            <v>158.91</v>
          </cell>
          <cell r="E102">
            <v>112.13</v>
          </cell>
          <cell r="F102">
            <v>114.31</v>
          </cell>
          <cell r="G102" t="str">
            <v>OK</v>
          </cell>
          <cell r="H102" t="str">
            <v>OK</v>
          </cell>
          <cell r="I102">
            <v>0.71933799005726518</v>
          </cell>
          <cell r="J102">
            <v>112.13</v>
          </cell>
          <cell r="K102" t="str">
            <v>OK</v>
          </cell>
        </row>
        <row r="103">
          <cell r="A103" t="str">
            <v>CIV0093</v>
          </cell>
          <cell r="B103" t="str">
            <v>Ponto de água para lavatório de louça branca, sem coluna, e torneira de pressão com acabamento cromado DN -  1/2", inclusive acessórios correspondentes</v>
          </cell>
          <cell r="C103" t="str">
            <v>ud</v>
          </cell>
          <cell r="D103">
            <v>86.91</v>
          </cell>
          <cell r="E103">
            <v>61.32</v>
          </cell>
          <cell r="F103">
            <v>62.51</v>
          </cell>
          <cell r="G103" t="str">
            <v>OK</v>
          </cell>
          <cell r="H103" t="str">
            <v>OK</v>
          </cell>
          <cell r="I103">
            <v>0.71924979864227367</v>
          </cell>
          <cell r="J103">
            <v>61.32</v>
          </cell>
          <cell r="K103" t="str">
            <v>OK</v>
          </cell>
        </row>
        <row r="104">
          <cell r="A104" t="str">
            <v>CIV0094</v>
          </cell>
          <cell r="B104" t="str">
            <v>PONTO DE ÁGUA PARA CHUVEIRO DE METAL DE 1/2 " , INCLUSIVE CHUVEIRO, REGISTRO, TUBOS E CONEXÕES</v>
          </cell>
          <cell r="C104" t="str">
            <v>ud</v>
          </cell>
          <cell r="D104">
            <v>95.29</v>
          </cell>
          <cell r="E104">
            <v>67.239999999999995</v>
          </cell>
          <cell r="F104">
            <v>68.540000000000006</v>
          </cell>
          <cell r="G104" t="str">
            <v>OK</v>
          </cell>
          <cell r="H104" t="str">
            <v>OK</v>
          </cell>
          <cell r="I104">
            <v>0.71927799349354604</v>
          </cell>
          <cell r="J104">
            <v>67.239999999999995</v>
          </cell>
          <cell r="K104" t="str">
            <v>OK</v>
          </cell>
        </row>
        <row r="105">
          <cell r="A105" t="str">
            <v>CIV0095</v>
          </cell>
          <cell r="B105" t="str">
            <v>PONTO DE ESGOTO PARA VASO SANITÁRIO, INCLUSIVE TUBOS E CONEXÕES EM PVC ATÉ A COLUNA OU SUBCOLETOR</v>
          </cell>
          <cell r="C105" t="str">
            <v>ud</v>
          </cell>
          <cell r="D105">
            <v>66</v>
          </cell>
          <cell r="E105">
            <v>66</v>
          </cell>
          <cell r="F105">
            <v>67.28</v>
          </cell>
          <cell r="G105" t="str">
            <v>OK</v>
          </cell>
          <cell r="H105" t="str">
            <v>OK</v>
          </cell>
          <cell r="I105">
            <v>1.0193939393939395</v>
          </cell>
          <cell r="J105">
            <v>45.83</v>
          </cell>
          <cell r="K105" t="str">
            <v>OK</v>
          </cell>
        </row>
        <row r="106">
          <cell r="A106" t="str">
            <v>CIV0096</v>
          </cell>
          <cell r="B106" t="str">
            <v>PONTO DE LUZ COM 02 (DUAS) LÂMPADAS FLUORESCENTES DE 40W, INCLUSIVE REATOR, CALHA,  E DEMAIS ACESSÓRIOS NECESSÁRIOS, E AINDA ELETRODUTO, CAIXAS, INTERRUPTOR, FIAÇÃO ATÉ O QUADRO DE DISTRIBUIÇÃO</v>
          </cell>
          <cell r="C106" t="str">
            <v>ud</v>
          </cell>
          <cell r="D106">
            <v>174.34</v>
          </cell>
          <cell r="E106">
            <v>137.53</v>
          </cell>
          <cell r="F106">
            <v>140.19999999999999</v>
          </cell>
          <cell r="G106" t="str">
            <v>OK</v>
          </cell>
          <cell r="H106" t="str">
            <v>OK</v>
          </cell>
          <cell r="I106">
            <v>0.80417574853734075</v>
          </cell>
          <cell r="J106">
            <v>137.53</v>
          </cell>
          <cell r="K106" t="str">
            <v>OK</v>
          </cell>
        </row>
        <row r="107">
          <cell r="A107" t="str">
            <v>CIV0097</v>
          </cell>
          <cell r="B107" t="str">
            <v>Ponto de tomada para ar -  condicionado contendo disjuntor de 25A, tomada 3P e placa , montada em caixa 4" x 4", inclusive eletroduto em PVC corrugado, fiação e aterramento a´te o quadro de distribuição e demais acessórios.</v>
          </cell>
          <cell r="C107" t="str">
            <v>ud</v>
          </cell>
          <cell r="D107">
            <v>137.07</v>
          </cell>
          <cell r="E107">
            <v>123.8</v>
          </cell>
          <cell r="F107">
            <v>126.2</v>
          </cell>
          <cell r="G107" t="str">
            <v>OK</v>
          </cell>
          <cell r="H107" t="str">
            <v>OK</v>
          </cell>
          <cell r="I107">
            <v>0.92069745385569424</v>
          </cell>
          <cell r="J107">
            <v>123.8</v>
          </cell>
          <cell r="K107" t="str">
            <v>OK</v>
          </cell>
        </row>
        <row r="108">
          <cell r="A108" t="str">
            <v>CIV0098</v>
          </cell>
          <cell r="B108" t="str">
            <v xml:space="preserve"> Ponto de tomada para telefone,inclusive materiais necessários.</v>
          </cell>
          <cell r="C108" t="str">
            <v>ud</v>
          </cell>
          <cell r="D108">
            <v>65.040000000000006</v>
          </cell>
          <cell r="E108">
            <v>63.6</v>
          </cell>
          <cell r="F108">
            <v>64.83</v>
          </cell>
          <cell r="G108" t="str">
            <v>OK</v>
          </cell>
          <cell r="H108" t="str">
            <v>OK</v>
          </cell>
          <cell r="I108">
            <v>0.99677121771217703</v>
          </cell>
          <cell r="J108">
            <v>63.6</v>
          </cell>
          <cell r="K108" t="str">
            <v>OK</v>
          </cell>
        </row>
        <row r="109">
          <cell r="A109" t="str">
            <v>CIV0099</v>
          </cell>
          <cell r="B109" t="str">
            <v>Ponto de tomada simples 220V inclusive materiais necessários.</v>
          </cell>
          <cell r="C109" t="str">
            <v>ud</v>
          </cell>
          <cell r="D109">
            <v>71.55</v>
          </cell>
          <cell r="E109">
            <v>67.260000000000005</v>
          </cell>
          <cell r="F109">
            <v>68.56</v>
          </cell>
          <cell r="G109" t="str">
            <v>OK</v>
          </cell>
          <cell r="H109" t="str">
            <v>OK</v>
          </cell>
          <cell r="I109">
            <v>0.95821104122990919</v>
          </cell>
          <cell r="J109">
            <v>67.260000000000005</v>
          </cell>
          <cell r="K109" t="str">
            <v>OK</v>
          </cell>
        </row>
        <row r="110">
          <cell r="A110" t="str">
            <v>CIV0100</v>
          </cell>
          <cell r="B110" t="str">
            <v>PORTA EXTERNA EM MADEIRA DE LEI, COM GRADE, GUARNIÇÕES, FERRAGEM-FORNECIMENTO E ASSENTAMENTO</v>
          </cell>
          <cell r="C110" t="str">
            <v>m²</v>
          </cell>
          <cell r="D110">
            <v>206.6</v>
          </cell>
          <cell r="E110">
            <v>222.47</v>
          </cell>
          <cell r="F110">
            <v>226.79</v>
          </cell>
          <cell r="G110" t="str">
            <v>OK</v>
          </cell>
          <cell r="H110" t="str">
            <v>OK</v>
          </cell>
          <cell r="I110">
            <v>1.0977250726040657</v>
          </cell>
          <cell r="J110">
            <v>222.47</v>
          </cell>
          <cell r="K110" t="str">
            <v>OK</v>
          </cell>
        </row>
        <row r="111">
          <cell r="A111" t="str">
            <v>CIV0101</v>
          </cell>
          <cell r="B111" t="str">
            <v>PORTA INTERNA SEMI-OCA EM COPAIBA, COM GRADE, GUARNIÇÕES, FERRAGEM-FORNECIMENTO E ASSENTAMENTO</v>
          </cell>
          <cell r="C111" t="str">
            <v>m²</v>
          </cell>
          <cell r="D111">
            <v>178.57</v>
          </cell>
          <cell r="E111">
            <v>192.29</v>
          </cell>
          <cell r="F111">
            <v>196.02</v>
          </cell>
          <cell r="G111" t="str">
            <v>OK</v>
          </cell>
          <cell r="H111" t="str">
            <v>OK</v>
          </cell>
          <cell r="I111">
            <v>1.0977207817662542</v>
          </cell>
          <cell r="J111">
            <v>192.29</v>
          </cell>
          <cell r="K111" t="str">
            <v>OK</v>
          </cell>
        </row>
        <row r="112">
          <cell r="A112" t="str">
            <v>CIV0102</v>
          </cell>
          <cell r="B112" t="str">
            <v>Portão metálico padrão COMPESA</v>
          </cell>
          <cell r="C112" t="str">
            <v xml:space="preserve"> un </v>
          </cell>
          <cell r="D112">
            <v>659.1</v>
          </cell>
          <cell r="E112">
            <v>709.76</v>
          </cell>
          <cell r="F112">
            <v>723.53</v>
          </cell>
          <cell r="G112" t="str">
            <v>OK</v>
          </cell>
          <cell r="H112" t="str">
            <v>OK</v>
          </cell>
          <cell r="I112">
            <v>1.0977545137308451</v>
          </cell>
          <cell r="J112">
            <v>709.76</v>
          </cell>
          <cell r="K112" t="str">
            <v>OK</v>
          </cell>
        </row>
        <row r="113">
          <cell r="A113" t="str">
            <v>CIV0103</v>
          </cell>
          <cell r="B113" t="str">
            <v>Projeto Estrutural, inclusive sondagem geotécnica</v>
          </cell>
          <cell r="C113" t="str">
            <v>vb</v>
          </cell>
          <cell r="D113">
            <v>37877.279999999999</v>
          </cell>
          <cell r="E113">
            <v>40788.71</v>
          </cell>
          <cell r="F113">
            <v>41580.01</v>
          </cell>
          <cell r="G113" t="str">
            <v>OK</v>
          </cell>
          <cell r="H113" t="str">
            <v>OK</v>
          </cell>
          <cell r="I113">
            <v>1.0977559634693939</v>
          </cell>
          <cell r="J113">
            <v>40788.71</v>
          </cell>
          <cell r="K113" t="str">
            <v>OK</v>
          </cell>
        </row>
        <row r="114">
          <cell r="A114" t="str">
            <v>CIV0104</v>
          </cell>
          <cell r="B114" t="str">
            <v>PROTEÇÃO CATÓDICA GALVANIZADA NAS ARMADURAS</v>
          </cell>
          <cell r="C114" t="str">
            <v>m²</v>
          </cell>
          <cell r="D114">
            <v>34.909999999999997</v>
          </cell>
          <cell r="E114">
            <v>25.61</v>
          </cell>
          <cell r="F114">
            <v>26.11</v>
          </cell>
          <cell r="G114" t="str">
            <v>OK</v>
          </cell>
          <cell r="H114" t="str">
            <v>OK</v>
          </cell>
          <cell r="I114">
            <v>0.74792323116585513</v>
          </cell>
          <cell r="J114">
            <v>25.61</v>
          </cell>
          <cell r="K114" t="str">
            <v>OK</v>
          </cell>
        </row>
        <row r="115">
          <cell r="A115" t="str">
            <v>CIV0105</v>
          </cell>
          <cell r="B115" t="str">
            <v>Plantio da capim sândalo incluindo preparo de solo com terra vegetal</v>
          </cell>
          <cell r="C115" t="str">
            <v>m2</v>
          </cell>
          <cell r="D115">
            <v>7.62</v>
          </cell>
          <cell r="E115">
            <v>8.1999999999999993</v>
          </cell>
          <cell r="F115">
            <v>8.36</v>
          </cell>
          <cell r="G115" t="str">
            <v>OK</v>
          </cell>
          <cell r="H115" t="str">
            <v>OK</v>
          </cell>
          <cell r="I115">
            <v>1.0971128608923884</v>
          </cell>
          <cell r="J115">
            <v>8.1999999999999993</v>
          </cell>
          <cell r="K115" t="str">
            <v>OK</v>
          </cell>
        </row>
        <row r="116">
          <cell r="A116" t="str">
            <v>CIV0106</v>
          </cell>
          <cell r="B116" t="str">
            <v>Reaterro com aproveitamento do material escavado compactado a cada 0,20m, com coleta de amostra (Grau de compactação 95 a 100% do proctor normal)</v>
          </cell>
          <cell r="C116" t="str">
            <v>m3</v>
          </cell>
          <cell r="D116">
            <v>1.38</v>
          </cell>
          <cell r="E116">
            <v>1.38</v>
          </cell>
          <cell r="F116">
            <v>1.41</v>
          </cell>
          <cell r="G116" t="str">
            <v>OK</v>
          </cell>
          <cell r="H116" t="str">
            <v>OK</v>
          </cell>
          <cell r="I116">
            <v>1.0217391304347827</v>
          </cell>
          <cell r="J116">
            <v>15.93</v>
          </cell>
          <cell r="K116" t="str">
            <v>OK</v>
          </cell>
        </row>
        <row r="117">
          <cell r="A117" t="str">
            <v>CIV0106A</v>
          </cell>
          <cell r="B117" t="str">
            <v>Reaterro apiloado em camada de 0,20m com material argilo-arenoso, inclusive fornecimento do material</v>
          </cell>
          <cell r="C117" t="str">
            <v>m3</v>
          </cell>
          <cell r="D117">
            <v>35.590000000000003</v>
          </cell>
          <cell r="E117">
            <v>29.46</v>
          </cell>
          <cell r="F117">
            <v>30.03</v>
          </cell>
          <cell r="G117" t="str">
            <v>OK</v>
          </cell>
          <cell r="H117" t="str">
            <v>OK</v>
          </cell>
          <cell r="I117">
            <v>0.84377634166900806</v>
          </cell>
          <cell r="J117">
            <v>29.46</v>
          </cell>
          <cell r="K117" t="str">
            <v>OK</v>
          </cell>
        </row>
        <row r="118">
          <cell r="A118" t="str">
            <v>CIV0107</v>
          </cell>
          <cell r="B118" t="str">
            <v>REATERRO COM PÓ DE PEDRA EM CAMADAS DE ATÉ 40 CM DE ESPESSURA, UTILIZANDO-SE PROCESSO MECÂNICO LEVE PARA A COMPACTAÇÃO, INCLUSIVE CARGA, DESCARGA E TRANSPORTE (POSTO OBRA)</v>
          </cell>
          <cell r="C118" t="str">
            <v xml:space="preserve">M³   </v>
          </cell>
          <cell r="D118">
            <v>32.380000000000003</v>
          </cell>
          <cell r="E118">
            <v>28.88</v>
          </cell>
          <cell r="F118">
            <v>29.44</v>
          </cell>
          <cell r="G118" t="str">
            <v>OK</v>
          </cell>
          <cell r="H118" t="str">
            <v>OK</v>
          </cell>
          <cell r="I118">
            <v>0.9092032118591723</v>
          </cell>
          <cell r="J118">
            <v>28.88</v>
          </cell>
          <cell r="K118" t="str">
            <v>OK</v>
          </cell>
        </row>
        <row r="119">
          <cell r="A119" t="str">
            <v>CIV0108</v>
          </cell>
          <cell r="B119" t="str">
            <v>REFORÇO DE FUNDAÇÃO EM BERÇO DECONCRETO SIMPLES COM FORMA COMPOSTO DE: CONCRETO SIMPLES FCK = 15 MPA, DOSADO CONFORME A CONDIÇÃO "C" DA NORMA NBR 12655 E COM CONSUMO MÍNIMO DE CIMENTO  350 KG/M³ E DE FORMA DE TÁBUA DE MADEIRA DE CONSTRUÇÃO</v>
          </cell>
          <cell r="C119" t="str">
            <v>m³</v>
          </cell>
          <cell r="D119">
            <v>561.89</v>
          </cell>
          <cell r="E119">
            <v>485.6</v>
          </cell>
          <cell r="F119">
            <v>495.02</v>
          </cell>
          <cell r="G119" t="str">
            <v>OK</v>
          </cell>
          <cell r="H119" t="str">
            <v>OK</v>
          </cell>
          <cell r="I119">
            <v>0.8809909412874406</v>
          </cell>
          <cell r="J119">
            <v>485.6</v>
          </cell>
          <cell r="K119" t="str">
            <v>OK</v>
          </cell>
        </row>
        <row r="120">
          <cell r="A120" t="str">
            <v>CIV0109</v>
          </cell>
          <cell r="B120" t="str">
            <v>REMOÇÃO DE TUBOS EM PVC; D = 300 mm; L = 1,05 m E ABRAÇADEIRAS PARA REAPROVEITAMENTO</v>
          </cell>
          <cell r="C120" t="str">
            <v>vb</v>
          </cell>
          <cell r="D120">
            <v>780</v>
          </cell>
          <cell r="E120">
            <v>550.37</v>
          </cell>
          <cell r="F120">
            <v>561.04999999999995</v>
          </cell>
          <cell r="G120" t="str">
            <v>OK</v>
          </cell>
          <cell r="H120" t="str">
            <v>OK</v>
          </cell>
          <cell r="I120">
            <v>0.71929487179487173</v>
          </cell>
          <cell r="J120">
            <v>550.37</v>
          </cell>
          <cell r="K120" t="str">
            <v>OK</v>
          </cell>
        </row>
        <row r="121">
          <cell r="A121" t="str">
            <v>CIV0110</v>
          </cell>
          <cell r="B121" t="str">
            <v>Remoção do material escavado em caminhão basculante, até 1,0 km, inclusive carga manual e descarga (medido no corte)</v>
          </cell>
          <cell r="C121" t="str">
            <v>m3</v>
          </cell>
          <cell r="D121">
            <v>20.76</v>
          </cell>
          <cell r="E121">
            <v>14.65</v>
          </cell>
          <cell r="F121">
            <v>14.93</v>
          </cell>
          <cell r="G121" t="str">
            <v>OK</v>
          </cell>
          <cell r="H121" t="str">
            <v>OK</v>
          </cell>
          <cell r="I121">
            <v>0.71917148362235062</v>
          </cell>
          <cell r="J121">
            <v>14.65</v>
          </cell>
          <cell r="K121" t="str">
            <v>OK</v>
          </cell>
        </row>
        <row r="122">
          <cell r="A122" t="str">
            <v>CIV0111</v>
          </cell>
          <cell r="B122" t="str">
            <v xml:space="preserve">remoção de material escavado em caminhão basculante  até 2 km, inclusive carga manual e descarga (medido no corte) </v>
          </cell>
          <cell r="C122" t="str">
            <v>m3</v>
          </cell>
          <cell r="D122">
            <v>21.13</v>
          </cell>
          <cell r="E122">
            <v>21.13</v>
          </cell>
          <cell r="F122">
            <v>21.54</v>
          </cell>
          <cell r="G122" t="str">
            <v>OK</v>
          </cell>
          <cell r="H122" t="str">
            <v>OK</v>
          </cell>
          <cell r="I122">
            <v>1.0194036914339801</v>
          </cell>
          <cell r="J122">
            <v>2.65</v>
          </cell>
          <cell r="K122" t="str">
            <v>OK</v>
          </cell>
        </row>
        <row r="123">
          <cell r="A123" t="str">
            <v>CIV0112</v>
          </cell>
          <cell r="B123" t="str">
            <v>REPOSIÇÃO ASFÁLTICA COMPLETA COM 10CM, INCLUSIVE SUB-BASE COM 20CM E LAJE DE CONCRETO 1:3:5 COM 10CM DE ESPESSURA</v>
          </cell>
          <cell r="C123" t="str">
            <v>m²</v>
          </cell>
          <cell r="D123">
            <v>76.52</v>
          </cell>
          <cell r="E123">
            <v>82.4</v>
          </cell>
          <cell r="F123">
            <v>84</v>
          </cell>
          <cell r="G123" t="str">
            <v>OK</v>
          </cell>
          <cell r="H123" t="str">
            <v>OK</v>
          </cell>
          <cell r="I123">
            <v>1.0977522216414011</v>
          </cell>
          <cell r="J123">
            <v>82.4</v>
          </cell>
          <cell r="K123" t="str">
            <v>OK</v>
          </cell>
        </row>
        <row r="124">
          <cell r="A124" t="str">
            <v>CIV0113</v>
          </cell>
          <cell r="B124" t="str">
            <v>REPOSIÇÃO EM PARALELEPÍPEDOS GRANÍTICOS, SOBRE COXIM DE AREIA COM  6 CM, REJUNTADO COM ARGAMASSA DE CIMENTO E AREIA NO TRAÇO 1:2</v>
          </cell>
          <cell r="C124" t="str">
            <v>m²</v>
          </cell>
          <cell r="D124">
            <v>20.67</v>
          </cell>
          <cell r="E124">
            <v>14.8</v>
          </cell>
          <cell r="F124">
            <v>15.09</v>
          </cell>
          <cell r="G124" t="str">
            <v>OK</v>
          </cell>
          <cell r="H124" t="str">
            <v>OK</v>
          </cell>
          <cell r="I124">
            <v>0.73004354136429606</v>
          </cell>
          <cell r="J124">
            <v>14.8</v>
          </cell>
          <cell r="K124" t="str">
            <v>OK</v>
          </cell>
        </row>
        <row r="125">
          <cell r="A125" t="str">
            <v>CIV0114</v>
          </cell>
          <cell r="B125" t="str">
            <v>RETIRADA DE AREIA E SEIXO DO LEITO</v>
          </cell>
          <cell r="C125" t="str">
            <v xml:space="preserve">M³   </v>
          </cell>
          <cell r="D125">
            <v>38.229999999999997</v>
          </cell>
          <cell r="E125">
            <v>41.17</v>
          </cell>
          <cell r="F125">
            <v>41.97</v>
          </cell>
          <cell r="G125" t="str">
            <v>OK</v>
          </cell>
          <cell r="H125" t="str">
            <v>OK</v>
          </cell>
          <cell r="I125">
            <v>1.0978289301595605</v>
          </cell>
          <cell r="J125">
            <v>41.17</v>
          </cell>
          <cell r="K125" t="str">
            <v>OK</v>
          </cell>
        </row>
        <row r="126">
          <cell r="A126" t="str">
            <v>CIV0115</v>
          </cell>
          <cell r="B126" t="str">
            <v>RETIRADA DE ESQUADRIAS METÁLICAS TIPO BASCULANTE</v>
          </cell>
          <cell r="C126" t="str">
            <v>m²</v>
          </cell>
          <cell r="D126">
            <v>3.22</v>
          </cell>
          <cell r="E126">
            <v>3.15</v>
          </cell>
          <cell r="F126">
            <v>3.21</v>
          </cell>
          <cell r="G126" t="str">
            <v>OK</v>
          </cell>
          <cell r="H126" t="str">
            <v>OK</v>
          </cell>
          <cell r="I126">
            <v>0.99689440993788814</v>
          </cell>
          <cell r="J126">
            <v>3.15</v>
          </cell>
          <cell r="K126" t="str">
            <v>OK</v>
          </cell>
        </row>
        <row r="127">
          <cell r="A127" t="str">
            <v>CIV0116</v>
          </cell>
          <cell r="B127" t="str">
            <v>RETIRADA DE PORTAS, JANELAS OU CAIXILHOS, INCLUSIVE BATENTES</v>
          </cell>
          <cell r="C127" t="str">
            <v>m²</v>
          </cell>
          <cell r="D127">
            <v>3.87</v>
          </cell>
          <cell r="E127">
            <v>3.9</v>
          </cell>
          <cell r="F127">
            <v>3.98</v>
          </cell>
          <cell r="G127" t="str">
            <v>OK</v>
          </cell>
          <cell r="H127" t="str">
            <v>OK</v>
          </cell>
          <cell r="I127">
            <v>1.0284237726098191</v>
          </cell>
          <cell r="J127">
            <v>3.9</v>
          </cell>
          <cell r="K127" t="str">
            <v>OK</v>
          </cell>
        </row>
        <row r="128">
          <cell r="A128" t="str">
            <v>CIV0117</v>
          </cell>
          <cell r="B128" t="str">
            <v>RETIRADA DE TELHA CERÂMICA  PLANA TIPO FRANCESA</v>
          </cell>
          <cell r="C128" t="str">
            <v>m²</v>
          </cell>
          <cell r="D128">
            <v>3.87</v>
          </cell>
          <cell r="E128">
            <v>4.17</v>
          </cell>
          <cell r="F128">
            <v>4.25</v>
          </cell>
          <cell r="G128" t="str">
            <v>OK</v>
          </cell>
          <cell r="H128" t="str">
            <v>OK</v>
          </cell>
          <cell r="I128">
            <v>1.0981912144702841</v>
          </cell>
          <cell r="J128">
            <v>4.17</v>
          </cell>
          <cell r="K128" t="str">
            <v>OK</v>
          </cell>
        </row>
        <row r="129">
          <cell r="A129" t="str">
            <v>CIV0118</v>
          </cell>
          <cell r="B129" t="str">
            <v>RETIRADA DE TELHAS ONDULADAS DE CIMENTO AMIANTO, ALUMINIO, PLASTICO, PERFIS TRAPEZOIDAIS/MEIO TUBO C.A</v>
          </cell>
          <cell r="C129" t="str">
            <v>ud</v>
          </cell>
          <cell r="D129">
            <v>2.29</v>
          </cell>
          <cell r="E129">
            <v>2.2999999999999998</v>
          </cell>
          <cell r="F129">
            <v>2.34</v>
          </cell>
          <cell r="G129" t="str">
            <v>OK</v>
          </cell>
          <cell r="H129" t="str">
            <v>OK</v>
          </cell>
          <cell r="I129">
            <v>1.0218340611353711</v>
          </cell>
          <cell r="J129">
            <v>2.2999999999999998</v>
          </cell>
          <cell r="K129" t="str">
            <v>OK</v>
          </cell>
        </row>
        <row r="130">
          <cell r="A130" t="str">
            <v>CIV0119</v>
          </cell>
          <cell r="B130" t="str">
            <v>REVESTIMENTO ASFALTÁLTICO DE 10CM DE ESPESSURA COM PRE-MISTURADO A FRIO FINO OU GROSSO FORNECIMENTO , ESPALHAMENTO E COMPACTAÇÃO</v>
          </cell>
          <cell r="C130" t="str">
            <v>m²</v>
          </cell>
          <cell r="D130">
            <v>43.62</v>
          </cell>
          <cell r="E130">
            <v>31.74</v>
          </cell>
          <cell r="F130">
            <v>32.36</v>
          </cell>
          <cell r="G130" t="str">
            <v>OK</v>
          </cell>
          <cell r="H130" t="str">
            <v>OK</v>
          </cell>
          <cell r="I130">
            <v>0.74186153140761124</v>
          </cell>
          <cell r="J130">
            <v>31.74</v>
          </cell>
          <cell r="K130" t="str">
            <v>OK</v>
          </cell>
        </row>
        <row r="131">
          <cell r="A131" t="str">
            <v>CIV0120</v>
          </cell>
          <cell r="B131" t="str">
            <v>Revestimento de azulejo tipo A - (15 x 15) cm com emboço</v>
          </cell>
          <cell r="C131" t="str">
            <v>m²</v>
          </cell>
          <cell r="D131">
            <v>46.87</v>
          </cell>
          <cell r="E131">
            <v>50.47</v>
          </cell>
          <cell r="F131">
            <v>51.45</v>
          </cell>
          <cell r="G131" t="str">
            <v>OK</v>
          </cell>
          <cell r="H131" t="str">
            <v>OK</v>
          </cell>
          <cell r="I131">
            <v>1.0977170898229145</v>
          </cell>
          <cell r="J131">
            <v>50.47</v>
          </cell>
          <cell r="K131" t="str">
            <v>OK</v>
          </cell>
        </row>
        <row r="132">
          <cell r="A132" t="str">
            <v>CIV0121</v>
          </cell>
          <cell r="B132" t="str">
            <v>REVESTIMENTO DE DUAS MASSAS (EMBOÇO E REBOCO)</v>
          </cell>
          <cell r="C132" t="str">
            <v>m²</v>
          </cell>
          <cell r="D132">
            <v>32.799999999999997</v>
          </cell>
          <cell r="E132">
            <v>31.19</v>
          </cell>
          <cell r="F132">
            <v>31.8</v>
          </cell>
          <cell r="G132" t="str">
            <v>OK</v>
          </cell>
          <cell r="H132" t="str">
            <v>OK</v>
          </cell>
          <cell r="I132">
            <v>0.9695121951219513</v>
          </cell>
          <cell r="J132">
            <v>31.19</v>
          </cell>
          <cell r="K132" t="str">
            <v>OK</v>
          </cell>
        </row>
        <row r="133">
          <cell r="A133" t="str">
            <v>CIV0122</v>
          </cell>
          <cell r="B133" t="str">
            <v>REVESTIMENTO DE MASSA ÚNICA</v>
          </cell>
          <cell r="C133" t="str">
            <v>m²</v>
          </cell>
          <cell r="D133">
            <v>19.190000000000001</v>
          </cell>
          <cell r="E133">
            <v>19.420000000000002</v>
          </cell>
          <cell r="F133">
            <v>19.8</v>
          </cell>
          <cell r="G133" t="str">
            <v>OK</v>
          </cell>
          <cell r="H133" t="str">
            <v>OK</v>
          </cell>
          <cell r="I133">
            <v>1.0317873892652423</v>
          </cell>
          <cell r="J133">
            <v>19.420000000000002</v>
          </cell>
          <cell r="K133" t="str">
            <v>OK</v>
          </cell>
        </row>
        <row r="134">
          <cell r="A134" t="str">
            <v>CIV0123</v>
          </cell>
          <cell r="B134" t="str">
            <v xml:space="preserve">SINALIZAÇÃO ABERTA SEM ILUMINAÇÃO, COM CAVALETES EM MADEIRA, ESPAÇADOS A CADA 2,0M, CONFORME PADRÃO COMPESA. </v>
          </cell>
          <cell r="C134" t="str">
            <v>m</v>
          </cell>
          <cell r="D134">
            <v>2.2799999999999998</v>
          </cell>
          <cell r="E134">
            <v>1.72</v>
          </cell>
          <cell r="F134">
            <v>1.75</v>
          </cell>
          <cell r="G134" t="str">
            <v>OK</v>
          </cell>
          <cell r="H134" t="str">
            <v>OK</v>
          </cell>
          <cell r="I134">
            <v>0.76754385964912286</v>
          </cell>
          <cell r="J134">
            <v>1.72</v>
          </cell>
          <cell r="K134" t="str">
            <v>OK</v>
          </cell>
        </row>
        <row r="135">
          <cell r="A135" t="str">
            <v>CIV0124</v>
          </cell>
          <cell r="B135" t="str">
            <v>Tampa com Chapa de Aço 1/4'', 1,20 x 1,20 m, com Pintura Anti-Corrosiva</v>
          </cell>
          <cell r="C135" t="str">
            <v xml:space="preserve"> un </v>
          </cell>
          <cell r="D135">
            <v>422.15</v>
          </cell>
          <cell r="E135">
            <v>454.59</v>
          </cell>
          <cell r="F135">
            <v>463.41</v>
          </cell>
          <cell r="G135" t="str">
            <v>OK</v>
          </cell>
          <cell r="H135" t="str">
            <v>OK</v>
          </cell>
          <cell r="I135">
            <v>1.097737770934502</v>
          </cell>
          <cell r="J135">
            <v>454.59</v>
          </cell>
          <cell r="K135" t="str">
            <v>OK</v>
          </cell>
        </row>
        <row r="136">
          <cell r="A136" t="str">
            <v>CIV0125</v>
          </cell>
          <cell r="B136" t="str">
            <v>Tampa com Chapa de Aço 1/4'', 1,80 x 2,95 m, com Pintura Anti-Corrosiva</v>
          </cell>
          <cell r="C136" t="str">
            <v xml:space="preserve"> un </v>
          </cell>
          <cell r="D136">
            <v>1556.67</v>
          </cell>
          <cell r="E136">
            <v>1676.32</v>
          </cell>
          <cell r="F136">
            <v>1708.84</v>
          </cell>
          <cell r="G136" t="str">
            <v>OK</v>
          </cell>
          <cell r="H136" t="str">
            <v>OK</v>
          </cell>
          <cell r="I136">
            <v>1.0977535380009893</v>
          </cell>
          <cell r="J136">
            <v>1676.32</v>
          </cell>
          <cell r="K136" t="str">
            <v>OK</v>
          </cell>
        </row>
        <row r="137">
          <cell r="A137" t="str">
            <v>CIV0126</v>
          </cell>
          <cell r="B137" t="str">
            <v>Tampa com Chapa de Aço 1/4'', 6,40 x 2,40 m, com Pintura Anti-Corrosiva</v>
          </cell>
          <cell r="C137" t="str">
            <v xml:space="preserve"> un </v>
          </cell>
          <cell r="D137">
            <v>4502.9399999999996</v>
          </cell>
          <cell r="E137">
            <v>4849.0600000000004</v>
          </cell>
          <cell r="F137">
            <v>4943.13</v>
          </cell>
          <cell r="G137" t="str">
            <v>OK</v>
          </cell>
          <cell r="H137" t="str">
            <v>OK</v>
          </cell>
          <cell r="I137">
            <v>1.0977561326599956</v>
          </cell>
          <cell r="J137">
            <v>4849.0600000000004</v>
          </cell>
          <cell r="K137" t="str">
            <v>OK</v>
          </cell>
        </row>
        <row r="138">
          <cell r="A138" t="str">
            <v>CIV0127</v>
          </cell>
          <cell r="B138" t="str">
            <v>Teste da rede de água</v>
          </cell>
          <cell r="C138" t="str">
            <v>m</v>
          </cell>
          <cell r="D138">
            <v>0.7</v>
          </cell>
          <cell r="E138">
            <v>0.73</v>
          </cell>
          <cell r="F138">
            <v>0.74</v>
          </cell>
          <cell r="G138" t="str">
            <v>OK</v>
          </cell>
          <cell r="H138" t="str">
            <v>OK</v>
          </cell>
          <cell r="I138">
            <v>1.0571428571428572</v>
          </cell>
          <cell r="J138">
            <v>0.73</v>
          </cell>
          <cell r="K138" t="str">
            <v>OK</v>
          </cell>
        </row>
        <row r="139">
          <cell r="A139" t="str">
            <v>CIV0128</v>
          </cell>
          <cell r="B139" t="str">
            <v>TRATAMENTO DE JUNTA DE DILATAÇÃO COM MASTIQUE ELÁSTICO</v>
          </cell>
          <cell r="C139" t="str">
            <v>m</v>
          </cell>
          <cell r="D139">
            <v>75.400000000000006</v>
          </cell>
          <cell r="E139">
            <v>53.2</v>
          </cell>
          <cell r="F139">
            <v>54.23</v>
          </cell>
          <cell r="G139" t="str">
            <v>OK</v>
          </cell>
          <cell r="H139" t="str">
            <v>OK</v>
          </cell>
          <cell r="I139">
            <v>0.71923076923076912</v>
          </cell>
          <cell r="J139">
            <v>53.2</v>
          </cell>
          <cell r="K139" t="str">
            <v>OK</v>
          </cell>
        </row>
        <row r="140">
          <cell r="A140" t="str">
            <v>CIV0129</v>
          </cell>
          <cell r="B140" t="str">
            <v>TRAVESSIAS SOB RODOVIAS ATRAVÉS DO MÉTODO NÃO DESTRUTIVO COM TUBO CAMISA DE DN=1200MM, INCLUSIVE FORNECIMENTO DO TUBO E VÁLVULAS, ELABORAÇÃO DO PROJETO E EPROVAÇÃO DO MESMO JUNTO AO DNIT - DN ADUTORA=700MM.</v>
          </cell>
          <cell r="C140" t="str">
            <v>m</v>
          </cell>
          <cell r="D140">
            <v>3900</v>
          </cell>
          <cell r="E140">
            <v>3900</v>
          </cell>
          <cell r="F140">
            <v>4836</v>
          </cell>
          <cell r="G140" t="str">
            <v>OK</v>
          </cell>
          <cell r="H140" t="str">
            <v>OK</v>
          </cell>
          <cell r="I140">
            <v>1.24</v>
          </cell>
          <cell r="J140">
            <v>4836</v>
          </cell>
          <cell r="K140" t="str">
            <v>B</v>
          </cell>
        </row>
        <row r="141">
          <cell r="A141" t="str">
            <v>CIV0130</v>
          </cell>
          <cell r="B141" t="str">
            <v>VENTILAÇÃO FORÇADA</v>
          </cell>
          <cell r="C141" t="str">
            <v>vb</v>
          </cell>
          <cell r="D141">
            <v>2499.9</v>
          </cell>
          <cell r="E141">
            <v>1763.93</v>
          </cell>
          <cell r="F141">
            <v>1798.15</v>
          </cell>
          <cell r="G141" t="str">
            <v>OK</v>
          </cell>
          <cell r="H141" t="str">
            <v>OK</v>
          </cell>
          <cell r="I141">
            <v>0.71928877155086202</v>
          </cell>
          <cell r="J141">
            <v>1763.93</v>
          </cell>
          <cell r="K141" t="str">
            <v>OK</v>
          </cell>
        </row>
        <row r="142">
          <cell r="A142" t="str">
            <v>CIV0131</v>
          </cell>
          <cell r="B142" t="str">
            <v>VIDROS DE 3MM COLOCADO</v>
          </cell>
          <cell r="C142" t="str">
            <v>m²</v>
          </cell>
          <cell r="D142">
            <v>65.48</v>
          </cell>
          <cell r="E142">
            <v>69.84</v>
          </cell>
          <cell r="F142">
            <v>71.19</v>
          </cell>
          <cell r="G142" t="str">
            <v>OK</v>
          </cell>
          <cell r="H142" t="str">
            <v>OK</v>
          </cell>
          <cell r="I142">
            <v>1.0872021991447769</v>
          </cell>
          <cell r="J142">
            <v>69.84</v>
          </cell>
          <cell r="K142" t="str">
            <v>OK</v>
          </cell>
        </row>
        <row r="143">
          <cell r="A143" t="str">
            <v>CIV0132</v>
          </cell>
          <cell r="B143" t="str">
            <v>Aquisição e assentamento de tubos de Concreto Armado DN = 600mm</v>
          </cell>
          <cell r="C143" t="str">
            <v>m</v>
          </cell>
          <cell r="D143">
            <v>101.91</v>
          </cell>
          <cell r="E143">
            <v>71.91</v>
          </cell>
          <cell r="F143">
            <v>73.31</v>
          </cell>
          <cell r="G143" t="str">
            <v>OK</v>
          </cell>
          <cell r="H143" t="str">
            <v>OK</v>
          </cell>
          <cell r="I143">
            <v>0.71936021980178588</v>
          </cell>
          <cell r="J143">
            <v>71.91</v>
          </cell>
          <cell r="K143" t="str">
            <v>OK</v>
          </cell>
        </row>
        <row r="144">
          <cell r="A144" t="str">
            <v>CIV0133</v>
          </cell>
          <cell r="B144" t="str">
            <v>Aquisição e assentamento de tubos de Concreto Armado DN = 800mm</v>
          </cell>
          <cell r="C144" t="str">
            <v>m</v>
          </cell>
          <cell r="D144">
            <v>157.03</v>
          </cell>
          <cell r="E144">
            <v>110.8</v>
          </cell>
          <cell r="F144">
            <v>112.95</v>
          </cell>
          <cell r="G144" t="str">
            <v>OK</v>
          </cell>
          <cell r="H144" t="str">
            <v>OK</v>
          </cell>
          <cell r="I144">
            <v>0.71928930777558431</v>
          </cell>
          <cell r="J144">
            <v>110.8</v>
          </cell>
          <cell r="K144" t="str">
            <v>OK</v>
          </cell>
        </row>
        <row r="145">
          <cell r="A145" t="str">
            <v>CIV0135</v>
          </cell>
          <cell r="B145" t="str">
            <v>Aquisição e assentamento de tubos de PVC para dreno corrugado DN = 150mm</v>
          </cell>
          <cell r="C145" t="str">
            <v>m</v>
          </cell>
          <cell r="D145">
            <v>30.4</v>
          </cell>
          <cell r="E145">
            <v>21.45</v>
          </cell>
          <cell r="F145">
            <v>21.87</v>
          </cell>
          <cell r="G145" t="str">
            <v>OK</v>
          </cell>
          <cell r="H145" t="str">
            <v>OK</v>
          </cell>
          <cell r="I145">
            <v>0.71940789473684219</v>
          </cell>
          <cell r="J145">
            <v>21.45</v>
          </cell>
          <cell r="K145" t="str">
            <v>OK</v>
          </cell>
        </row>
        <row r="146">
          <cell r="A146" t="str">
            <v>CIV0137</v>
          </cell>
          <cell r="B146" t="str">
            <v>Aquisição e assentamento de tubos para dreno PVC - DN = 100mm</v>
          </cell>
          <cell r="C146" t="str">
            <v>m</v>
          </cell>
          <cell r="D146">
            <v>16.48</v>
          </cell>
          <cell r="E146">
            <v>11.63</v>
          </cell>
          <cell r="F146">
            <v>11.86</v>
          </cell>
          <cell r="G146" t="str">
            <v>OK</v>
          </cell>
          <cell r="H146" t="str">
            <v>OK</v>
          </cell>
          <cell r="I146">
            <v>0.71966019417475724</v>
          </cell>
          <cell r="J146">
            <v>11.63</v>
          </cell>
          <cell r="K146" t="str">
            <v>OK</v>
          </cell>
        </row>
        <row r="147">
          <cell r="A147" t="str">
            <v>CIV0138</v>
          </cell>
          <cell r="B147" t="str">
            <v>Aquisição e assentamento de tubos PVC para esgotamento sanitário conforme norma 7362 - DN = 150mm</v>
          </cell>
          <cell r="C147" t="str">
            <v>m</v>
          </cell>
          <cell r="D147">
            <v>54.54</v>
          </cell>
          <cell r="E147">
            <v>38.479999999999997</v>
          </cell>
          <cell r="F147">
            <v>39.229999999999997</v>
          </cell>
          <cell r="G147" t="str">
            <v>OK</v>
          </cell>
          <cell r="H147" t="str">
            <v>OK</v>
          </cell>
          <cell r="I147">
            <v>0.71928859552621927</v>
          </cell>
          <cell r="J147">
            <v>38.479999999999997</v>
          </cell>
          <cell r="K147" t="str">
            <v>OK</v>
          </cell>
        </row>
        <row r="148">
          <cell r="A148" t="str">
            <v>CIV0139</v>
          </cell>
          <cell r="B148" t="str">
            <v>Aquisição e assentamento de tubos PVC para esgotamento sanitário conforme norma 7362 - DN = 300mm</v>
          </cell>
          <cell r="C148" t="str">
            <v>m</v>
          </cell>
          <cell r="D148">
            <v>185.48</v>
          </cell>
          <cell r="E148">
            <v>130.87</v>
          </cell>
          <cell r="F148">
            <v>133.41</v>
          </cell>
          <cell r="G148" t="str">
            <v>OK</v>
          </cell>
          <cell r="H148" t="str">
            <v>OK</v>
          </cell>
          <cell r="I148">
            <v>0.71926892387319386</v>
          </cell>
          <cell r="J148">
            <v>130.87</v>
          </cell>
          <cell r="K148" t="str">
            <v>OK</v>
          </cell>
        </row>
        <row r="149">
          <cell r="A149" t="str">
            <v>CIV0140</v>
          </cell>
          <cell r="B149" t="str">
            <v>Fornecimento e instalação de iluminação externa composta de poste de ferro galvanizado de 3", com 6,00m de altura, cravado em concreto com luminária fechada tipo pétala com difusor em policarbonato, para lâmpada vapor metálico de 400 w, modelo VIENTO IVH,</v>
          </cell>
          <cell r="C149" t="str">
            <v xml:space="preserve">un </v>
          </cell>
          <cell r="D149">
            <v>1701.27</v>
          </cell>
          <cell r="E149">
            <v>1832.04</v>
          </cell>
          <cell r="F149">
            <v>1867.58</v>
          </cell>
          <cell r="G149" t="str">
            <v>OK</v>
          </cell>
          <cell r="H149" t="str">
            <v>OK</v>
          </cell>
          <cell r="I149">
            <v>1.0977563819969787</v>
          </cell>
          <cell r="J149">
            <v>1832.04</v>
          </cell>
          <cell r="K149" t="str">
            <v>OK</v>
          </cell>
        </row>
        <row r="150">
          <cell r="A150" t="str">
            <v>CIV0141</v>
          </cell>
          <cell r="B150" t="str">
            <v>Aquisição e colocação de perfil em aço inox - 6" x 4", com 9,00m e quatro abraçadeira com parafusos para apoio de tubos PVC DE FoFo - DN = 300mm (coleta de água decantada)</v>
          </cell>
          <cell r="C150" t="str">
            <v xml:space="preserve">un </v>
          </cell>
          <cell r="D150">
            <v>6825</v>
          </cell>
          <cell r="E150">
            <v>4815.72</v>
          </cell>
          <cell r="F150">
            <v>4909.1400000000003</v>
          </cell>
          <cell r="G150" t="str">
            <v>OK</v>
          </cell>
          <cell r="H150" t="str">
            <v>OK</v>
          </cell>
          <cell r="I150">
            <v>0.7192879120879121</v>
          </cell>
          <cell r="J150">
            <v>4815.72</v>
          </cell>
          <cell r="K150" t="str">
            <v>OK</v>
          </cell>
        </row>
        <row r="151">
          <cell r="A151" t="str">
            <v>CIV0142</v>
          </cell>
          <cell r="B151" t="str">
            <v>Aquisição e colocação de tubos de PVC DE FoFo - DN = 300mm com 13,60m e furos de 1" a cada 0,15m (coleta de água decantada), inclusive cap por unidade</v>
          </cell>
          <cell r="C151" t="str">
            <v xml:space="preserve">un </v>
          </cell>
          <cell r="D151">
            <v>2860.36</v>
          </cell>
          <cell r="E151">
            <v>2018.27</v>
          </cell>
          <cell r="F151">
            <v>2057.42</v>
          </cell>
          <cell r="G151" t="str">
            <v>OK</v>
          </cell>
          <cell r="H151" t="str">
            <v>OK</v>
          </cell>
          <cell r="I151">
            <v>0.71928708274482933</v>
          </cell>
          <cell r="J151">
            <v>2018.27</v>
          </cell>
          <cell r="K151" t="str">
            <v>OK</v>
          </cell>
        </row>
        <row r="152">
          <cell r="A152" t="str">
            <v>CIV0143</v>
          </cell>
          <cell r="B152" t="str">
            <v>Aquisição e montagem de comporta do tipo 'A" (1295 x 1300mm), completa com pedestal e 5,00m de varão guia, aparafusadas com parabolt de 1/2"</v>
          </cell>
          <cell r="C152" t="str">
            <v xml:space="preserve">un </v>
          </cell>
          <cell r="D152">
            <v>1605.58</v>
          </cell>
          <cell r="E152">
            <v>1728.99</v>
          </cell>
          <cell r="F152">
            <v>1762.53</v>
          </cell>
          <cell r="G152" t="str">
            <v>OK</v>
          </cell>
          <cell r="H152" t="str">
            <v>OK</v>
          </cell>
          <cell r="I152">
            <v>1.0977528369810288</v>
          </cell>
          <cell r="J152">
            <v>1728.99</v>
          </cell>
          <cell r="K152" t="str">
            <v>OK</v>
          </cell>
        </row>
        <row r="153">
          <cell r="A153" t="str">
            <v>CIV0144</v>
          </cell>
          <cell r="B153" t="str">
            <v>Aquisição, transporte e colocação de tubulação em Aço Carbono, DN = 800mm - e = 1/2", com revestimento interno e externo em Epoxi, com 10,00m de extensão e curvatura conforme projeto</v>
          </cell>
          <cell r="C153" t="str">
            <v xml:space="preserve">un </v>
          </cell>
          <cell r="D153">
            <v>42770</v>
          </cell>
          <cell r="E153">
            <v>39507.699999999997</v>
          </cell>
          <cell r="F153">
            <v>40274.15</v>
          </cell>
          <cell r="G153" t="str">
            <v>OK</v>
          </cell>
          <cell r="H153" t="str">
            <v>OK</v>
          </cell>
          <cell r="I153">
            <v>0.941644844517185</v>
          </cell>
          <cell r="J153">
            <v>39507.699999999997</v>
          </cell>
          <cell r="K153" t="str">
            <v>OK</v>
          </cell>
        </row>
        <row r="154">
          <cell r="A154" t="str">
            <v>CIV0147</v>
          </cell>
          <cell r="B154" t="str">
            <v>Reaterro compactado mecanicamente em camadas de 0,20m, inclusive escavação, carga, transporte, descarga e fornecimento de material adquirido em jazida com DMT de 1,0 km</v>
          </cell>
          <cell r="C154" t="str">
            <v>m3</v>
          </cell>
          <cell r="D154">
            <v>12.82</v>
          </cell>
          <cell r="E154">
            <v>13.81</v>
          </cell>
          <cell r="F154">
            <v>14.08</v>
          </cell>
          <cell r="G154" t="str">
            <v>OK</v>
          </cell>
          <cell r="H154" t="str">
            <v>OK</v>
          </cell>
          <cell r="I154">
            <v>1.0982839313572543</v>
          </cell>
          <cell r="J154">
            <v>13.81</v>
          </cell>
          <cell r="K154" t="str">
            <v>OK</v>
          </cell>
        </row>
        <row r="155">
          <cell r="A155" t="str">
            <v>CIV0148</v>
          </cell>
          <cell r="B155" t="str">
            <v>Cadastro técnico de rede de água</v>
          </cell>
          <cell r="C155" t="str">
            <v>m</v>
          </cell>
          <cell r="D155">
            <v>1.7</v>
          </cell>
          <cell r="E155">
            <v>1.31</v>
          </cell>
          <cell r="F155">
            <v>1.34</v>
          </cell>
          <cell r="G155" t="str">
            <v>OK</v>
          </cell>
          <cell r="H155" t="str">
            <v>OK</v>
          </cell>
          <cell r="I155">
            <v>0.78823529411764715</v>
          </cell>
          <cell r="J155">
            <v>1.31</v>
          </cell>
          <cell r="K155" t="str">
            <v>OK</v>
          </cell>
        </row>
        <row r="156">
          <cell r="A156" t="str">
            <v>CIV0149</v>
          </cell>
          <cell r="B156" t="str">
            <v xml:space="preserve">Caixa de coleta de drenagem e limpeza de lodo, em concreto armado fck = 18Mpa (e = 0,20) s/ tampa, com (1,10 x 1,20 m) e h = 1,80m  </v>
          </cell>
          <cell r="C156" t="str">
            <v xml:space="preserve">un </v>
          </cell>
          <cell r="D156">
            <v>2859.1</v>
          </cell>
          <cell r="E156">
            <v>2603.5300000000002</v>
          </cell>
          <cell r="F156">
            <v>2654.04</v>
          </cell>
          <cell r="G156" t="str">
            <v>OK</v>
          </cell>
          <cell r="H156" t="str">
            <v>OK</v>
          </cell>
          <cell r="I156">
            <v>0.92827812948130528</v>
          </cell>
          <cell r="J156">
            <v>2603.5300000000002</v>
          </cell>
          <cell r="K156" t="str">
            <v>OK</v>
          </cell>
        </row>
        <row r="157">
          <cell r="A157" t="str">
            <v>CIV0155</v>
          </cell>
          <cell r="B157" t="str">
            <v>Cerca com 9 fios de arame farpado e moirões de concreto armado a cada 2,00m, com altura util de 2,40 m</v>
          </cell>
          <cell r="C157" t="str">
            <v>m</v>
          </cell>
          <cell r="D157">
            <v>30.49</v>
          </cell>
          <cell r="E157">
            <v>29.78</v>
          </cell>
          <cell r="F157">
            <v>30.36</v>
          </cell>
          <cell r="G157" t="str">
            <v>OK</v>
          </cell>
          <cell r="H157" t="str">
            <v>OK</v>
          </cell>
          <cell r="I157">
            <v>0.9957363069858971</v>
          </cell>
          <cell r="J157">
            <v>29.78</v>
          </cell>
          <cell r="K157" t="str">
            <v>OK</v>
          </cell>
        </row>
        <row r="158">
          <cell r="A158" t="str">
            <v>CIV0156</v>
          </cell>
          <cell r="B158" t="str">
            <v>Coberta em telha do tipo canal, com todo madeiramento, tesouras do tipo com caibro mineiro, tratada com novacor.</v>
          </cell>
          <cell r="C158" t="str">
            <v>m2</v>
          </cell>
          <cell r="D158">
            <v>97.51</v>
          </cell>
          <cell r="E158">
            <v>105.01</v>
          </cell>
          <cell r="F158">
            <v>107.05</v>
          </cell>
          <cell r="G158" t="str">
            <v>OK</v>
          </cell>
          <cell r="H158" t="str">
            <v>OK</v>
          </cell>
          <cell r="I158">
            <v>1.097836119372372</v>
          </cell>
          <cell r="J158">
            <v>105.01</v>
          </cell>
          <cell r="K158" t="str">
            <v>OK</v>
          </cell>
        </row>
        <row r="159">
          <cell r="A159" t="str">
            <v>CIV0157</v>
          </cell>
          <cell r="B159" t="str">
            <v>com 2,80m de altura e degrau a cada 0,30m</v>
          </cell>
          <cell r="C159" t="str">
            <v xml:space="preserve">un </v>
          </cell>
          <cell r="D159">
            <v>2096.9</v>
          </cell>
          <cell r="E159">
            <v>1492.9</v>
          </cell>
          <cell r="F159">
            <v>1521.86</v>
          </cell>
          <cell r="G159" t="str">
            <v>OK</v>
          </cell>
          <cell r="H159" t="str">
            <v>OK</v>
          </cell>
          <cell r="I159">
            <v>0.72576660784968283</v>
          </cell>
          <cell r="J159">
            <v>1492.9</v>
          </cell>
          <cell r="K159" t="str">
            <v>OK</v>
          </cell>
        </row>
        <row r="160">
          <cell r="A160" t="str">
            <v>CIV0158</v>
          </cell>
          <cell r="B160" t="str">
            <v>com 4,30m de altura e degrau a cada 0,30m</v>
          </cell>
          <cell r="C160" t="str">
            <v xml:space="preserve">un </v>
          </cell>
          <cell r="D160">
            <v>3224</v>
          </cell>
          <cell r="E160">
            <v>2292.67</v>
          </cell>
          <cell r="F160">
            <v>2337.15</v>
          </cell>
          <cell r="G160" t="str">
            <v>OK</v>
          </cell>
          <cell r="H160" t="str">
            <v>OK</v>
          </cell>
          <cell r="I160">
            <v>0.72492245657568244</v>
          </cell>
          <cell r="J160">
            <v>2292.67</v>
          </cell>
          <cell r="K160" t="str">
            <v>OK</v>
          </cell>
        </row>
        <row r="161">
          <cell r="A161" t="str">
            <v>CIV0159</v>
          </cell>
          <cell r="B161" t="str">
            <v>com 5,10m de altura e degrau a cada 0,30m</v>
          </cell>
          <cell r="C161" t="str">
            <v xml:space="preserve">un </v>
          </cell>
          <cell r="D161">
            <v>3822</v>
          </cell>
          <cell r="E161">
            <v>2719.22</v>
          </cell>
          <cell r="F161">
            <v>2771.97</v>
          </cell>
          <cell r="G161" t="str">
            <v>OK</v>
          </cell>
          <cell r="H161" t="str">
            <v>OK</v>
          </cell>
          <cell r="I161">
            <v>0.72526687598116168</v>
          </cell>
          <cell r="J161">
            <v>2719.22</v>
          </cell>
          <cell r="K161" t="str">
            <v>OK</v>
          </cell>
        </row>
        <row r="162">
          <cell r="A162" t="str">
            <v>CIV0160</v>
          </cell>
          <cell r="B162" t="str">
            <v>com 5,50m de altura e degrau a cada 0,30m</v>
          </cell>
          <cell r="C162" t="str">
            <v xml:space="preserve">un </v>
          </cell>
          <cell r="D162">
            <v>4121.75</v>
          </cell>
          <cell r="E162">
            <v>2932.49</v>
          </cell>
          <cell r="F162">
            <v>2989.38</v>
          </cell>
          <cell r="G162" t="str">
            <v>OK</v>
          </cell>
          <cell r="H162" t="str">
            <v>OK</v>
          </cell>
          <cell r="I162">
            <v>0.72526960635652338</v>
          </cell>
          <cell r="J162">
            <v>2932.49</v>
          </cell>
          <cell r="K162" t="str">
            <v>OK</v>
          </cell>
        </row>
        <row r="163">
          <cell r="A163" t="str">
            <v>CIV0161</v>
          </cell>
          <cell r="B163" t="str">
            <v>com 6,50m de altura e degrau a cada 0,30m</v>
          </cell>
          <cell r="C163" t="str">
            <v xml:space="preserve">un </v>
          </cell>
          <cell r="D163">
            <v>4871.17</v>
          </cell>
          <cell r="E163">
            <v>3465.67</v>
          </cell>
          <cell r="F163">
            <v>3532.9</v>
          </cell>
          <cell r="G163" t="str">
            <v>OK</v>
          </cell>
          <cell r="H163" t="str">
            <v>OK</v>
          </cell>
          <cell r="I163">
            <v>0.72526723559227047</v>
          </cell>
          <cell r="J163">
            <v>3465.67</v>
          </cell>
          <cell r="K163" t="str">
            <v>OK</v>
          </cell>
        </row>
        <row r="164">
          <cell r="A164" t="str">
            <v>CIV0162</v>
          </cell>
          <cell r="B164" t="str">
            <v>Concreto armado FCK 40 MPa,  controle "A" e com consumo mínimo de cimento 533 kg/m³, com forma de compensado resinado e escoramento (preparo e lançamento) para pilares</v>
          </cell>
          <cell r="C164" t="str">
            <v>m3</v>
          </cell>
          <cell r="D164">
            <v>1708.19</v>
          </cell>
          <cell r="E164">
            <v>1945.29</v>
          </cell>
          <cell r="F164">
            <v>1983.03</v>
          </cell>
          <cell r="G164" t="str">
            <v>OK</v>
          </cell>
          <cell r="H164" t="str">
            <v>OK</v>
          </cell>
          <cell r="I164">
            <v>1.1608954507402571</v>
          </cell>
          <cell r="J164">
            <v>1945.29</v>
          </cell>
          <cell r="K164" t="str">
            <v>OK</v>
          </cell>
        </row>
        <row r="165">
          <cell r="A165" t="str">
            <v>CIV0163</v>
          </cell>
          <cell r="B165" t="str">
            <v>Concreto simples com forma composto de: concreto simples FCK = 15 MPa, dosado conforme a condição "C" da norma NBR 12655 e com consumo mínimo de cimento  350 kg/m³ e de forma de tábua de madeira de construção, para envoltório de engaste da tubulação da to</v>
          </cell>
          <cell r="C165" t="str">
            <v>m3</v>
          </cell>
          <cell r="D165">
            <v>561.89</v>
          </cell>
          <cell r="E165">
            <v>561.89</v>
          </cell>
          <cell r="F165">
            <v>696.74</v>
          </cell>
          <cell r="G165" t="str">
            <v>OK</v>
          </cell>
          <cell r="H165" t="str">
            <v>OK</v>
          </cell>
          <cell r="I165">
            <v>1.2399935930520209</v>
          </cell>
          <cell r="J165">
            <v>696.74</v>
          </cell>
          <cell r="K165" t="str">
            <v>B</v>
          </cell>
        </row>
        <row r="166">
          <cell r="A166" t="str">
            <v>CIV0164</v>
          </cell>
          <cell r="B166" t="str">
            <v>Concreto simples com forma composto de: concreto simples FCK = 15 MPa, dosado conforme a condição "C" da norma NBR 12655 e com consumo mínimo de cimento  350 kg/m³ e de forma de tábua de madeira de construção</v>
          </cell>
          <cell r="C166" t="str">
            <v>m3</v>
          </cell>
          <cell r="D166">
            <v>561.89</v>
          </cell>
          <cell r="E166">
            <v>561.89</v>
          </cell>
          <cell r="F166">
            <v>696.74</v>
          </cell>
          <cell r="G166" t="str">
            <v>OK</v>
          </cell>
          <cell r="H166" t="str">
            <v>OK</v>
          </cell>
          <cell r="I166">
            <v>1.2399935930520209</v>
          </cell>
          <cell r="J166">
            <v>696.74</v>
          </cell>
          <cell r="K166" t="str">
            <v>B</v>
          </cell>
        </row>
        <row r="167">
          <cell r="A167" t="str">
            <v>CIV0165</v>
          </cell>
          <cell r="B167" t="str">
            <v>Concreto simples 1:3:6 para regularização.</v>
          </cell>
          <cell r="C167" t="str">
            <v>m3</v>
          </cell>
          <cell r="D167">
            <v>220</v>
          </cell>
          <cell r="E167">
            <v>174.29</v>
          </cell>
          <cell r="F167">
            <v>177.67</v>
          </cell>
          <cell r="G167" t="str">
            <v>OK</v>
          </cell>
          <cell r="H167" t="str">
            <v>OK</v>
          </cell>
          <cell r="I167">
            <v>0.80759090909090903</v>
          </cell>
          <cell r="J167">
            <v>174.29</v>
          </cell>
          <cell r="K167" t="str">
            <v>OK</v>
          </cell>
        </row>
        <row r="168">
          <cell r="A168" t="str">
            <v>CIV0167</v>
          </cell>
          <cell r="B168" t="str">
            <v>Confecção de cadastro técnico da obra em meio digital com acompanhamento diário por funcionário capacitado em tempo real, inclusive dois pares de ponto G.P.S.</v>
          </cell>
          <cell r="C168" t="str">
            <v>prancha</v>
          </cell>
          <cell r="D168">
            <v>130</v>
          </cell>
          <cell r="E168">
            <v>139.99</v>
          </cell>
          <cell r="F168">
            <v>142.71</v>
          </cell>
          <cell r="G168" t="str">
            <v>OK</v>
          </cell>
          <cell r="H168" t="str">
            <v>OK</v>
          </cell>
          <cell r="I168">
            <v>1.0977692307692308</v>
          </cell>
          <cell r="J168">
            <v>139.99</v>
          </cell>
          <cell r="K168" t="str">
            <v>OK</v>
          </cell>
        </row>
        <row r="169">
          <cell r="A169" t="str">
            <v>CIV0168</v>
          </cell>
          <cell r="B169" t="str">
            <v>Confecção e colocação de chapas com resina poliester, revestida com de fibra de vidro, devidamente protegida contra a corrosão pelo sulfato de alumínio e cloro. A espessura nominal das placas será de 4mm, o comprimento (altura) de 1,5m e a largura de 2,30</v>
          </cell>
          <cell r="C169" t="str">
            <v xml:space="preserve">un </v>
          </cell>
          <cell r="D169">
            <v>417.56</v>
          </cell>
          <cell r="E169">
            <v>449.66</v>
          </cell>
          <cell r="F169">
            <v>458.38</v>
          </cell>
          <cell r="G169" t="str">
            <v>OK</v>
          </cell>
          <cell r="H169" t="str">
            <v>OK</v>
          </cell>
          <cell r="I169">
            <v>1.097758405977584</v>
          </cell>
          <cell r="J169">
            <v>449.66</v>
          </cell>
          <cell r="K169" t="str">
            <v>OK</v>
          </cell>
        </row>
        <row r="170">
          <cell r="A170" t="str">
            <v>CIV0169</v>
          </cell>
          <cell r="B170" t="str">
            <v>Confecção e colocação de grelha para inspeção, em barra de ferro 3/8" x 1 1/2", conforme projeto, e revestida por primer epoxi.</v>
          </cell>
          <cell r="C170" t="str">
            <v>m2</v>
          </cell>
          <cell r="D170">
            <v>876.2</v>
          </cell>
          <cell r="E170">
            <v>618.25</v>
          </cell>
          <cell r="F170">
            <v>630.24</v>
          </cell>
          <cell r="G170" t="str">
            <v>OK</v>
          </cell>
          <cell r="H170" t="str">
            <v>OK</v>
          </cell>
          <cell r="I170">
            <v>0.71928783382789319</v>
          </cell>
          <cell r="J170">
            <v>618.25</v>
          </cell>
          <cell r="K170" t="str">
            <v>OK</v>
          </cell>
        </row>
        <row r="171">
          <cell r="A171" t="str">
            <v>CIV0170</v>
          </cell>
          <cell r="B171" t="str">
            <v>Confecção e colocação de tubos de fibra de vidro cônico para distribuição de água floculada com diâmetro variando de 0,70m a 0,10m, com 12,70m de comprimento e saídas ao longo da extensão a cada 0,50m, em tubos de 100mm e 0,20m de comprimento conforme det</v>
          </cell>
          <cell r="C171" t="str">
            <v xml:space="preserve">un </v>
          </cell>
          <cell r="D171">
            <v>6331</v>
          </cell>
          <cell r="E171">
            <v>6296.6</v>
          </cell>
          <cell r="F171">
            <v>6418.75</v>
          </cell>
          <cell r="G171" t="str">
            <v>OK</v>
          </cell>
          <cell r="H171" t="str">
            <v>OK</v>
          </cell>
          <cell r="I171">
            <v>1.0138603696098563</v>
          </cell>
          <cell r="J171">
            <v>6296.6</v>
          </cell>
          <cell r="K171" t="str">
            <v>OK</v>
          </cell>
        </row>
        <row r="172">
          <cell r="A172" t="str">
            <v>CIV0171</v>
          </cell>
          <cell r="B172" t="str">
            <v>Construção de calçada em concreto ripado com junta de dilatação em emulsão asfaltica no entorno do bloco hidráulico, inclusive aterro compactado.</v>
          </cell>
          <cell r="C172" t="str">
            <v>m2</v>
          </cell>
          <cell r="D172">
            <v>30.33</v>
          </cell>
          <cell r="E172">
            <v>22.23</v>
          </cell>
          <cell r="F172">
            <v>22.66</v>
          </cell>
          <cell r="G172" t="str">
            <v>OK</v>
          </cell>
          <cell r="H172" t="str">
            <v>OK</v>
          </cell>
          <cell r="I172">
            <v>0.74711506758984514</v>
          </cell>
          <cell r="J172">
            <v>22.23</v>
          </cell>
          <cell r="K172" t="str">
            <v>OK</v>
          </cell>
        </row>
        <row r="173">
          <cell r="A173" t="str">
            <v>CIV0172</v>
          </cell>
          <cell r="B173" t="str">
            <v>Construção de meio fio e linha d'água</v>
          </cell>
          <cell r="C173" t="str">
            <v>m</v>
          </cell>
          <cell r="D173">
            <v>14.63</v>
          </cell>
          <cell r="E173">
            <v>15.75</v>
          </cell>
          <cell r="F173">
            <v>16.059999999999999</v>
          </cell>
          <cell r="G173" t="str">
            <v>OK</v>
          </cell>
          <cell r="H173" t="str">
            <v>OK</v>
          </cell>
          <cell r="I173">
            <v>1.0977443609022555</v>
          </cell>
          <cell r="J173">
            <v>15.75</v>
          </cell>
          <cell r="K173" t="str">
            <v>OK</v>
          </cell>
        </row>
        <row r="174">
          <cell r="A174" t="str">
            <v>CIV0173</v>
          </cell>
          <cell r="B174" t="str">
            <v xml:space="preserve">Construção de valeta de proteção em calha     D = 0,30m, pré-moldada, fornecimento e colocação. </v>
          </cell>
          <cell r="C174" t="str">
            <v>m</v>
          </cell>
          <cell r="D174">
            <v>17.97</v>
          </cell>
          <cell r="E174">
            <v>19.350000000000001</v>
          </cell>
          <cell r="F174">
            <v>19.73</v>
          </cell>
          <cell r="G174" t="str">
            <v>OK</v>
          </cell>
          <cell r="H174" t="str">
            <v>OK</v>
          </cell>
          <cell r="I174">
            <v>1.0979410127991098</v>
          </cell>
          <cell r="J174">
            <v>19.350000000000001</v>
          </cell>
          <cell r="K174" t="str">
            <v>OK</v>
          </cell>
        </row>
        <row r="175">
          <cell r="A175" t="str">
            <v>CIV0174</v>
          </cell>
          <cell r="B175" t="str">
            <v xml:space="preserve">De cimento prensado 40 X 40 Cm </v>
          </cell>
          <cell r="C175" t="str">
            <v>m²</v>
          </cell>
          <cell r="D175">
            <v>62.09</v>
          </cell>
          <cell r="E175">
            <v>60.11</v>
          </cell>
          <cell r="F175">
            <v>61.28</v>
          </cell>
          <cell r="G175" t="str">
            <v>OK</v>
          </cell>
          <cell r="H175" t="str">
            <v>OK</v>
          </cell>
          <cell r="I175">
            <v>0.98695442100177155</v>
          </cell>
          <cell r="J175">
            <v>60.11</v>
          </cell>
          <cell r="K175" t="str">
            <v>OK</v>
          </cell>
        </row>
        <row r="176">
          <cell r="A176" t="str">
            <v>CIV0175</v>
          </cell>
          <cell r="B176" t="str">
            <v>Demolição de alvenaria de pedra, manual c/ martelete, no corpo da barragem.</v>
          </cell>
          <cell r="C176" t="str">
            <v>m3</v>
          </cell>
          <cell r="D176">
            <v>53.86</v>
          </cell>
          <cell r="E176">
            <v>55.34</v>
          </cell>
          <cell r="F176">
            <v>56.41</v>
          </cell>
          <cell r="G176" t="str">
            <v>OK</v>
          </cell>
          <cell r="H176" t="str">
            <v>OK</v>
          </cell>
          <cell r="I176">
            <v>1.0473449684366876</v>
          </cell>
          <cell r="J176">
            <v>55.34</v>
          </cell>
          <cell r="K176" t="str">
            <v>OK</v>
          </cell>
        </row>
        <row r="177">
          <cell r="A177" t="str">
            <v>CIV0176</v>
          </cell>
          <cell r="B177" t="str">
            <v>Desmatamento e destocamento mecânico de arvores de diâmetro inferior a 15cm e bananeiras e limpeza do terreno.</v>
          </cell>
          <cell r="C177" t="str">
            <v>m²</v>
          </cell>
          <cell r="D177">
            <v>0.17</v>
          </cell>
          <cell r="E177">
            <v>0.18</v>
          </cell>
          <cell r="F177">
            <v>0.18</v>
          </cell>
          <cell r="G177" t="str">
            <v>OK</v>
          </cell>
          <cell r="H177" t="str">
            <v>OK</v>
          </cell>
          <cell r="I177">
            <v>1.0588235294117645</v>
          </cell>
          <cell r="J177">
            <v>0.18</v>
          </cell>
          <cell r="K177" t="str">
            <v>OK</v>
          </cell>
        </row>
        <row r="178">
          <cell r="A178" t="str">
            <v>CIV0177</v>
          </cell>
          <cell r="B178" t="str">
            <v>Desmobilização (30%)</v>
          </cell>
          <cell r="C178" t="str">
            <v>vb</v>
          </cell>
          <cell r="D178">
            <v>13711.63</v>
          </cell>
          <cell r="E178">
            <v>14765.57</v>
          </cell>
          <cell r="F178">
            <v>15052.02</v>
          </cell>
          <cell r="G178" t="str">
            <v>OK</v>
          </cell>
          <cell r="H178" t="str">
            <v>OK</v>
          </cell>
          <cell r="I178">
            <v>1.0977557008174814</v>
          </cell>
          <cell r="J178">
            <v>14765.57</v>
          </cell>
          <cell r="K178" t="str">
            <v>OK</v>
          </cell>
        </row>
        <row r="179">
          <cell r="A179" t="str">
            <v>CIV0178</v>
          </cell>
          <cell r="B179" t="str">
            <v>DN = 1000mm</v>
          </cell>
          <cell r="C179" t="str">
            <v xml:space="preserve">un </v>
          </cell>
          <cell r="D179">
            <v>821.11</v>
          </cell>
          <cell r="E179">
            <v>578.85</v>
          </cell>
          <cell r="F179">
            <v>590.08000000000004</v>
          </cell>
          <cell r="G179" t="str">
            <v>OK</v>
          </cell>
          <cell r="H179" t="str">
            <v>OK</v>
          </cell>
          <cell r="I179">
            <v>0.71863696703243174</v>
          </cell>
          <cell r="J179">
            <v>578.85</v>
          </cell>
          <cell r="K179" t="str">
            <v>OK</v>
          </cell>
        </row>
        <row r="180">
          <cell r="A180" t="str">
            <v>CIV0179</v>
          </cell>
          <cell r="B180" t="str">
            <v>DN = 150mm</v>
          </cell>
          <cell r="C180" t="str">
            <v xml:space="preserve">un </v>
          </cell>
          <cell r="D180">
            <v>76.41</v>
          </cell>
          <cell r="E180">
            <v>56.79</v>
          </cell>
          <cell r="F180">
            <v>57.89</v>
          </cell>
          <cell r="G180" t="str">
            <v>OK</v>
          </cell>
          <cell r="H180" t="str">
            <v>OK</v>
          </cell>
          <cell r="I180">
            <v>0.7576233477293548</v>
          </cell>
          <cell r="J180">
            <v>56.79</v>
          </cell>
          <cell r="K180" t="str">
            <v>OK</v>
          </cell>
        </row>
        <row r="181">
          <cell r="A181" t="str">
            <v>CIV0180</v>
          </cell>
          <cell r="B181" t="str">
            <v>DN = 200mm</v>
          </cell>
          <cell r="C181" t="str">
            <v xml:space="preserve">un </v>
          </cell>
          <cell r="D181">
            <v>104.83</v>
          </cell>
          <cell r="E181">
            <v>77.88</v>
          </cell>
          <cell r="F181">
            <v>79.39</v>
          </cell>
          <cell r="G181" t="str">
            <v>OK</v>
          </cell>
          <cell r="H181" t="str">
            <v>OK</v>
          </cell>
          <cell r="I181">
            <v>0.75732137746828199</v>
          </cell>
          <cell r="J181">
            <v>77.88</v>
          </cell>
          <cell r="K181" t="str">
            <v>OK</v>
          </cell>
        </row>
        <row r="182">
          <cell r="A182" t="str">
            <v>CIV0181</v>
          </cell>
          <cell r="B182" t="str">
            <v>DN = 300mm</v>
          </cell>
          <cell r="C182" t="str">
            <v xml:space="preserve">un </v>
          </cell>
          <cell r="D182">
            <v>166.74</v>
          </cell>
          <cell r="E182">
            <v>123.85</v>
          </cell>
          <cell r="F182">
            <v>126.25</v>
          </cell>
          <cell r="G182" t="str">
            <v>OK</v>
          </cell>
          <cell r="H182" t="str">
            <v>OK</v>
          </cell>
          <cell r="I182">
            <v>0.75716684658750144</v>
          </cell>
          <cell r="J182">
            <v>123.85</v>
          </cell>
          <cell r="K182" t="str">
            <v>OK</v>
          </cell>
        </row>
        <row r="183">
          <cell r="A183" t="str">
            <v>CIV0182</v>
          </cell>
          <cell r="B183" t="str">
            <v>DN = 750mm</v>
          </cell>
          <cell r="C183" t="str">
            <v xml:space="preserve">un </v>
          </cell>
          <cell r="D183">
            <v>582.71</v>
          </cell>
          <cell r="E183">
            <v>582.71</v>
          </cell>
          <cell r="F183">
            <v>594.01</v>
          </cell>
          <cell r="G183" t="str">
            <v>OK</v>
          </cell>
          <cell r="H183" t="str">
            <v>OK</v>
          </cell>
          <cell r="I183">
            <v>1.0193921504693586</v>
          </cell>
          <cell r="J183">
            <v>366.91</v>
          </cell>
          <cell r="K183" t="str">
            <v>OK</v>
          </cell>
        </row>
        <row r="184">
          <cell r="A184" t="str">
            <v>CIV0184</v>
          </cell>
          <cell r="B184" t="str">
            <v>DN = 800mm</v>
          </cell>
          <cell r="C184" t="str">
            <v xml:space="preserve">un </v>
          </cell>
          <cell r="D184">
            <v>582.71</v>
          </cell>
          <cell r="E184">
            <v>420.19</v>
          </cell>
          <cell r="F184">
            <v>428.34</v>
          </cell>
          <cell r="G184" t="str">
            <v>OK</v>
          </cell>
          <cell r="H184" t="str">
            <v>OK</v>
          </cell>
          <cell r="I184">
            <v>0.73508263115443351</v>
          </cell>
          <cell r="J184">
            <v>420.19</v>
          </cell>
          <cell r="K184" t="str">
            <v>OK</v>
          </cell>
        </row>
        <row r="185">
          <cell r="A185" t="str">
            <v>CIV0186</v>
          </cell>
          <cell r="B185" t="str">
            <v>DN=150mm</v>
          </cell>
          <cell r="C185" t="str">
            <v xml:space="preserve">un </v>
          </cell>
          <cell r="D185">
            <v>76.41</v>
          </cell>
          <cell r="E185">
            <v>72.27</v>
          </cell>
          <cell r="F185">
            <v>73.67</v>
          </cell>
          <cell r="G185" t="str">
            <v>OK</v>
          </cell>
          <cell r="H185" t="str">
            <v>OK</v>
          </cell>
          <cell r="I185">
            <v>0.96414081926449424</v>
          </cell>
          <cell r="J185">
            <v>72.27</v>
          </cell>
          <cell r="K185" t="str">
            <v>OK</v>
          </cell>
        </row>
        <row r="186">
          <cell r="A186" t="str">
            <v>CIV0187</v>
          </cell>
          <cell r="B186" t="str">
            <v>DN=200mm</v>
          </cell>
          <cell r="C186" t="str">
            <v xml:space="preserve">un </v>
          </cell>
          <cell r="D186">
            <v>104.83</v>
          </cell>
          <cell r="E186">
            <v>112.89</v>
          </cell>
          <cell r="F186">
            <v>115.08</v>
          </cell>
          <cell r="G186" t="str">
            <v>OK</v>
          </cell>
          <cell r="H186" t="str">
            <v>OK</v>
          </cell>
          <cell r="I186">
            <v>1.0977773538109319</v>
          </cell>
          <cell r="J186">
            <v>112.89</v>
          </cell>
          <cell r="K186" t="str">
            <v>OK</v>
          </cell>
        </row>
        <row r="187">
          <cell r="A187" t="str">
            <v>CIV0190</v>
          </cell>
          <cell r="B187" t="str">
            <v>Esgotamento com bomba de 7,5 HP</v>
          </cell>
          <cell r="C187" t="str">
            <v>h</v>
          </cell>
          <cell r="D187">
            <v>11.77</v>
          </cell>
          <cell r="E187">
            <v>8.3000000000000007</v>
          </cell>
          <cell r="F187">
            <v>8.4600000000000009</v>
          </cell>
          <cell r="G187" t="str">
            <v>OK</v>
          </cell>
          <cell r="H187" t="str">
            <v>OK</v>
          </cell>
          <cell r="I187">
            <v>0.71877655055225154</v>
          </cell>
          <cell r="J187">
            <v>8.3000000000000007</v>
          </cell>
          <cell r="K187" t="str">
            <v>OK</v>
          </cell>
        </row>
        <row r="188">
          <cell r="A188" t="str">
            <v>CIV0191</v>
          </cell>
          <cell r="B188" t="str">
            <v>Operação de conjunto com até 50 ponteiras filtrantes e bombas de sucção para rebaixamento de lençol  freático até 5 m de profundidade.</v>
          </cell>
          <cell r="C188" t="str">
            <v>dia</v>
          </cell>
          <cell r="D188">
            <v>136.5</v>
          </cell>
          <cell r="E188">
            <v>147</v>
          </cell>
          <cell r="F188">
            <v>149.85</v>
          </cell>
          <cell r="G188" t="str">
            <v>OK</v>
          </cell>
          <cell r="H188" t="str">
            <v>OK</v>
          </cell>
          <cell r="I188">
            <v>1.0978021978021977</v>
          </cell>
          <cell r="J188">
            <v>147</v>
          </cell>
          <cell r="K188" t="str">
            <v>OK</v>
          </cell>
        </row>
        <row r="189">
          <cell r="A189" t="str">
            <v>CIV0192</v>
          </cell>
          <cell r="B189" t="str">
            <v xml:space="preserve">Execução de corte com enchimento de concreto em tubulação de ferro DN = 1000mm, inclusive retirada da comporta;                                    </v>
          </cell>
          <cell r="C189" t="str">
            <v xml:space="preserve">un </v>
          </cell>
          <cell r="D189">
            <v>910</v>
          </cell>
          <cell r="E189">
            <v>905.14</v>
          </cell>
          <cell r="F189">
            <v>922.7</v>
          </cell>
          <cell r="G189" t="str">
            <v>OK</v>
          </cell>
          <cell r="H189" t="str">
            <v>OK</v>
          </cell>
          <cell r="I189">
            <v>1.013956043956044</v>
          </cell>
          <cell r="J189">
            <v>905.14</v>
          </cell>
          <cell r="K189" t="str">
            <v>OK</v>
          </cell>
        </row>
        <row r="190">
          <cell r="A190" t="str">
            <v>CIV0193</v>
          </cell>
          <cell r="B190" t="str">
            <v>Execução de corte com enchimento de concreto em tubulação de ferro, inclusive retirada da comporta                                                      DN = 750mm</v>
          </cell>
          <cell r="C190" t="str">
            <v xml:space="preserve">un </v>
          </cell>
          <cell r="D190">
            <v>521.25</v>
          </cell>
          <cell r="E190">
            <v>561.32000000000005</v>
          </cell>
          <cell r="F190">
            <v>572.21</v>
          </cell>
          <cell r="G190" t="str">
            <v>OK</v>
          </cell>
          <cell r="H190" t="str">
            <v>OK</v>
          </cell>
          <cell r="I190">
            <v>1.0977649880095923</v>
          </cell>
          <cell r="J190">
            <v>561.32000000000005</v>
          </cell>
          <cell r="K190" t="str">
            <v>OK</v>
          </cell>
        </row>
        <row r="191">
          <cell r="A191" t="str">
            <v>CIV0194</v>
          </cell>
          <cell r="B191" t="str">
            <v>Fornecimento e fixação de chuveiro com haste de plático DN = 1/2".</v>
          </cell>
          <cell r="C191" t="str">
            <v>ud</v>
          </cell>
          <cell r="D191">
            <v>53.94</v>
          </cell>
          <cell r="E191">
            <v>58.09</v>
          </cell>
          <cell r="F191">
            <v>59.22</v>
          </cell>
          <cell r="G191" t="str">
            <v>OK</v>
          </cell>
          <cell r="H191" t="str">
            <v>OK</v>
          </cell>
          <cell r="I191">
            <v>1.0978865406006675</v>
          </cell>
          <cell r="J191">
            <v>58.09</v>
          </cell>
          <cell r="K191" t="str">
            <v>OK</v>
          </cell>
        </row>
        <row r="192">
          <cell r="A192" t="str">
            <v>CIV0195</v>
          </cell>
          <cell r="B192" t="str">
            <v>Caixa de passagem para esgoto condominial aneis em concreto simples,lastro em concreto simples e base com tijolo coroa com tampa em concreto armado.</v>
          </cell>
          <cell r="C192" t="str">
            <v>ud</v>
          </cell>
          <cell r="D192">
            <v>108.71</v>
          </cell>
          <cell r="E192">
            <v>94.47</v>
          </cell>
          <cell r="F192">
            <v>96.3</v>
          </cell>
          <cell r="G192" t="str">
            <v>OK</v>
          </cell>
          <cell r="H192" t="str">
            <v>OK</v>
          </cell>
          <cell r="I192">
            <v>0.88584306871492968</v>
          </cell>
          <cell r="J192">
            <v>94.47</v>
          </cell>
          <cell r="K192" t="str">
            <v>OK</v>
          </cell>
        </row>
        <row r="193">
          <cell r="A193" t="str">
            <v>CIV0196</v>
          </cell>
          <cell r="B193" t="str">
            <v xml:space="preserve">Fornecimento e fixação de vaso sanitário de louça bran ca com tampa plástica e caixa de descarga plástica e acxessórios correspondentes. </v>
          </cell>
          <cell r="C193" t="str">
            <v>ud</v>
          </cell>
          <cell r="D193">
            <v>144.09</v>
          </cell>
          <cell r="E193">
            <v>154.78</v>
          </cell>
          <cell r="F193">
            <v>157.78</v>
          </cell>
          <cell r="G193" t="str">
            <v>OK</v>
          </cell>
          <cell r="H193" t="str">
            <v>OK</v>
          </cell>
          <cell r="I193">
            <v>1.0950100631549726</v>
          </cell>
          <cell r="J193">
            <v>154.78</v>
          </cell>
          <cell r="K193" t="str">
            <v>OK</v>
          </cell>
        </row>
        <row r="194">
          <cell r="A194" t="str">
            <v>CIV0197</v>
          </cell>
          <cell r="B194" t="str">
            <v>Fornecimento e instalação de caixa d`água de fibrocimento com tampa Cap. 500l ,com boi ,inclusive tubos ,conexões e demais acessórios correspondentes.</v>
          </cell>
          <cell r="C194" t="str">
            <v>ud</v>
          </cell>
          <cell r="D194">
            <v>388.58</v>
          </cell>
          <cell r="E194">
            <v>348.24</v>
          </cell>
          <cell r="F194">
            <v>355</v>
          </cell>
          <cell r="G194" t="str">
            <v>OK</v>
          </cell>
          <cell r="H194" t="str">
            <v>OK</v>
          </cell>
          <cell r="I194">
            <v>0.91358278861495701</v>
          </cell>
          <cell r="J194">
            <v>348.24</v>
          </cell>
          <cell r="K194" t="str">
            <v>OK</v>
          </cell>
        </row>
        <row r="195">
          <cell r="A195" t="str">
            <v>CIV0198</v>
          </cell>
          <cell r="B195" t="str">
            <v>L = 0,80m</v>
          </cell>
          <cell r="C195" t="str">
            <v xml:space="preserve">un </v>
          </cell>
          <cell r="D195">
            <v>45.47</v>
          </cell>
          <cell r="E195">
            <v>32.08</v>
          </cell>
          <cell r="F195">
            <v>32.700000000000003</v>
          </cell>
          <cell r="G195" t="str">
            <v>OK</v>
          </cell>
          <cell r="H195" t="str">
            <v>OK</v>
          </cell>
          <cell r="I195">
            <v>0.71915548713437438</v>
          </cell>
          <cell r="J195">
            <v>32.08</v>
          </cell>
          <cell r="K195" t="str">
            <v>OK</v>
          </cell>
        </row>
        <row r="196">
          <cell r="A196" t="str">
            <v>CIV0199</v>
          </cell>
          <cell r="B196" t="str">
            <v>L = 10,00m</v>
          </cell>
          <cell r="C196" t="str">
            <v xml:space="preserve">un </v>
          </cell>
          <cell r="D196">
            <v>568.49</v>
          </cell>
          <cell r="E196">
            <v>401.13</v>
          </cell>
          <cell r="F196">
            <v>408.91</v>
          </cell>
          <cell r="G196" t="str">
            <v>OK</v>
          </cell>
          <cell r="H196" t="str">
            <v>OK</v>
          </cell>
          <cell r="I196">
            <v>0.7192914563140953</v>
          </cell>
          <cell r="J196">
            <v>401.13</v>
          </cell>
          <cell r="K196" t="str">
            <v>OK</v>
          </cell>
        </row>
        <row r="197">
          <cell r="A197" t="str">
            <v>CIV0200</v>
          </cell>
          <cell r="B197" t="str">
            <v>L = 31,00m (O perfil "I")</v>
          </cell>
          <cell r="C197" t="str">
            <v xml:space="preserve">un </v>
          </cell>
          <cell r="D197">
            <v>13780</v>
          </cell>
          <cell r="E197">
            <v>11073.06</v>
          </cell>
          <cell r="F197">
            <v>11287.88</v>
          </cell>
          <cell r="G197" t="str">
            <v>OK</v>
          </cell>
          <cell r="H197" t="str">
            <v>OK</v>
          </cell>
          <cell r="I197">
            <v>0.81914949201741649</v>
          </cell>
          <cell r="J197">
            <v>11073.06</v>
          </cell>
          <cell r="K197" t="str">
            <v>OK</v>
          </cell>
        </row>
        <row r="198">
          <cell r="A198" t="str">
            <v>CIV0201</v>
          </cell>
          <cell r="B198" t="str">
            <v>L = 5,40m</v>
          </cell>
          <cell r="C198" t="str">
            <v xml:space="preserve">un </v>
          </cell>
          <cell r="D198">
            <v>306.98</v>
          </cell>
          <cell r="E198">
            <v>216.61</v>
          </cell>
          <cell r="F198">
            <v>220.81</v>
          </cell>
          <cell r="G198" t="str">
            <v>OK</v>
          </cell>
          <cell r="H198" t="str">
            <v>OK</v>
          </cell>
          <cell r="I198">
            <v>0.71929767411557755</v>
          </cell>
          <cell r="J198">
            <v>216.61</v>
          </cell>
          <cell r="K198" t="str">
            <v>OK</v>
          </cell>
        </row>
        <row r="199">
          <cell r="A199" t="str">
            <v>CIV0202</v>
          </cell>
          <cell r="B199" t="str">
            <v>L = 9,00m (O perfil "I")</v>
          </cell>
          <cell r="C199" t="str">
            <v xml:space="preserve">un </v>
          </cell>
          <cell r="D199">
            <v>7098</v>
          </cell>
          <cell r="E199">
            <v>7643.59</v>
          </cell>
          <cell r="F199">
            <v>7791.88</v>
          </cell>
          <cell r="G199" t="str">
            <v>OK</v>
          </cell>
          <cell r="H199" t="str">
            <v>OK</v>
          </cell>
          <cell r="I199">
            <v>1.0977571146801917</v>
          </cell>
          <cell r="J199">
            <v>7643.59</v>
          </cell>
          <cell r="K199" t="str">
            <v>OK</v>
          </cell>
        </row>
        <row r="200">
          <cell r="A200" t="str">
            <v>CIV0203</v>
          </cell>
          <cell r="B200" t="str">
            <v>Areia grossa</v>
          </cell>
          <cell r="C200" t="str">
            <v>m3</v>
          </cell>
          <cell r="D200">
            <v>53.3</v>
          </cell>
          <cell r="E200">
            <v>45.62</v>
          </cell>
          <cell r="F200">
            <v>46.51</v>
          </cell>
          <cell r="G200" t="str">
            <v>OK</v>
          </cell>
          <cell r="H200" t="str">
            <v>OK</v>
          </cell>
          <cell r="I200">
            <v>0.87260787992495314</v>
          </cell>
          <cell r="J200">
            <v>45.62</v>
          </cell>
          <cell r="K200" t="str">
            <v>OK</v>
          </cell>
        </row>
        <row r="201">
          <cell r="A201" t="str">
            <v>CIV0204</v>
          </cell>
          <cell r="B201" t="str">
            <v>Locação e demarcação do poço por instrumento e gabarito</v>
          </cell>
          <cell r="C201" t="str">
            <v>m2</v>
          </cell>
          <cell r="D201">
            <v>3.93</v>
          </cell>
          <cell r="E201">
            <v>3.45</v>
          </cell>
          <cell r="F201">
            <v>3.52</v>
          </cell>
          <cell r="G201" t="str">
            <v>OK</v>
          </cell>
          <cell r="H201" t="str">
            <v>OK</v>
          </cell>
          <cell r="I201">
            <v>0.89567430025445294</v>
          </cell>
          <cell r="J201">
            <v>3.45</v>
          </cell>
          <cell r="K201" t="str">
            <v>OK</v>
          </cell>
        </row>
        <row r="202">
          <cell r="A202" t="str">
            <v>CIV0205</v>
          </cell>
          <cell r="B202" t="str">
            <v>Locação, nivelamento e demarcação do canal por instrumento e gabarito</v>
          </cell>
          <cell r="C202" t="str">
            <v>m2</v>
          </cell>
          <cell r="D202">
            <v>3.93</v>
          </cell>
          <cell r="E202">
            <v>2.77</v>
          </cell>
          <cell r="F202">
            <v>2.82</v>
          </cell>
          <cell r="G202" t="str">
            <v>OK</v>
          </cell>
          <cell r="H202" t="str">
            <v>OK</v>
          </cell>
          <cell r="I202">
            <v>0.71755725190839692</v>
          </cell>
          <cell r="J202">
            <v>2.77</v>
          </cell>
          <cell r="K202" t="str">
            <v>OK</v>
          </cell>
        </row>
        <row r="203">
          <cell r="A203" t="str">
            <v>CIV0206</v>
          </cell>
          <cell r="B203" t="str">
            <v>Locação, nivelamento e demarcação por instrumento e gabarito</v>
          </cell>
          <cell r="C203" t="str">
            <v>m2</v>
          </cell>
          <cell r="D203">
            <v>3.93</v>
          </cell>
          <cell r="E203">
            <v>4.1399999999999997</v>
          </cell>
          <cell r="F203">
            <v>4.22</v>
          </cell>
          <cell r="G203" t="str">
            <v>OK</v>
          </cell>
          <cell r="H203" t="str">
            <v>OK</v>
          </cell>
          <cell r="I203">
            <v>1.0737913486005088</v>
          </cell>
          <cell r="J203">
            <v>4.1399999999999997</v>
          </cell>
          <cell r="K203" t="str">
            <v>OK</v>
          </cell>
        </row>
        <row r="204">
          <cell r="A204" t="str">
            <v>CIV0207</v>
          </cell>
          <cell r="B204" t="str">
            <v>Mobilização (70%)</v>
          </cell>
          <cell r="C204" t="str">
            <v>vb</v>
          </cell>
          <cell r="D204">
            <v>31993.8</v>
          </cell>
          <cell r="E204">
            <v>34453</v>
          </cell>
          <cell r="F204">
            <v>35121.39</v>
          </cell>
          <cell r="G204" t="str">
            <v>OK</v>
          </cell>
          <cell r="H204" t="str">
            <v>OK</v>
          </cell>
          <cell r="I204">
            <v>1.0977561277497516</v>
          </cell>
          <cell r="J204">
            <v>34453</v>
          </cell>
          <cell r="K204" t="str">
            <v>OK</v>
          </cell>
        </row>
        <row r="205">
          <cell r="A205" t="str">
            <v>CIV0208</v>
          </cell>
          <cell r="B205" t="str">
            <v>Mobilização e instalação de conjunto com  até 50 ponteiras filtrantes e bombas de sucção para rebaixamento de lençol freático até 5,00 m de profundidade</v>
          </cell>
          <cell r="C205" t="str">
            <v>cj</v>
          </cell>
          <cell r="D205">
            <v>1040</v>
          </cell>
          <cell r="E205">
            <v>1119.94</v>
          </cell>
          <cell r="F205">
            <v>1141.67</v>
          </cell>
          <cell r="G205" t="str">
            <v>OK</v>
          </cell>
          <cell r="H205" t="str">
            <v>OK</v>
          </cell>
          <cell r="I205">
            <v>1.0977596153846154</v>
          </cell>
          <cell r="J205">
            <v>1119.94</v>
          </cell>
          <cell r="K205" t="str">
            <v>OK</v>
          </cell>
        </row>
        <row r="206">
          <cell r="A206" t="str">
            <v>CIV0209</v>
          </cell>
          <cell r="B206" t="str">
            <v>Montagem do manifold e barrilete dos filtros</v>
          </cell>
          <cell r="C206" t="str">
            <v>vb</v>
          </cell>
          <cell r="D206">
            <v>34883.19</v>
          </cell>
          <cell r="E206">
            <v>24613.58</v>
          </cell>
          <cell r="F206">
            <v>25091.08</v>
          </cell>
          <cell r="G206" t="str">
            <v>OK</v>
          </cell>
          <cell r="H206" t="str">
            <v>OK</v>
          </cell>
          <cell r="I206">
            <v>0.71928857423876658</v>
          </cell>
          <cell r="J206">
            <v>24613.58</v>
          </cell>
          <cell r="K206" t="str">
            <v>OK</v>
          </cell>
        </row>
        <row r="207">
          <cell r="A207" t="str">
            <v>CIV0210</v>
          </cell>
          <cell r="B207" t="str">
            <v>Motoristas, inclusive encargos (tres)</v>
          </cell>
          <cell r="C207" t="str">
            <v>mês</v>
          </cell>
          <cell r="D207">
            <v>5505.67</v>
          </cell>
          <cell r="E207">
            <v>4532.18</v>
          </cell>
          <cell r="F207">
            <v>4620.1000000000004</v>
          </cell>
          <cell r="G207" t="str">
            <v>OK</v>
          </cell>
          <cell r="H207" t="str">
            <v>OK</v>
          </cell>
          <cell r="I207">
            <v>0.83915309126772952</v>
          </cell>
          <cell r="J207">
            <v>4532.18</v>
          </cell>
          <cell r="K207" t="str">
            <v>OK</v>
          </cell>
        </row>
        <row r="208">
          <cell r="A208" t="str">
            <v>CIV0211</v>
          </cell>
          <cell r="B208" t="str">
            <v>Operação de conjunto com até 50 ponteiras filtrantes e bomba de rebaixamento de lençol frreático até 5m de profundidade.</v>
          </cell>
          <cell r="C208" t="str">
            <v>dia</v>
          </cell>
          <cell r="D208">
            <v>136.5</v>
          </cell>
          <cell r="E208">
            <v>147</v>
          </cell>
          <cell r="F208">
            <v>149.85</v>
          </cell>
          <cell r="G208" t="str">
            <v>OK</v>
          </cell>
          <cell r="H208" t="str">
            <v>OK</v>
          </cell>
          <cell r="I208">
            <v>1.0978021978021977</v>
          </cell>
          <cell r="J208">
            <v>147</v>
          </cell>
          <cell r="K208" t="str">
            <v>OK</v>
          </cell>
        </row>
        <row r="209">
          <cell r="A209" t="str">
            <v>CIV0212</v>
          </cell>
          <cell r="B209" t="str">
            <v>Pavimentação em paralelepípedos graniticos sobre coxim de areia com 6 cm de espessura, rejuntado com argamassa de cimento e areia no traço 1:2 (para acesso da ETA)</v>
          </cell>
          <cell r="C209" t="str">
            <v>m2</v>
          </cell>
          <cell r="D209">
            <v>31.5</v>
          </cell>
          <cell r="E209">
            <v>31.38</v>
          </cell>
          <cell r="F209">
            <v>31.99</v>
          </cell>
          <cell r="G209" t="str">
            <v>OK</v>
          </cell>
          <cell r="H209" t="str">
            <v>OK</v>
          </cell>
          <cell r="I209">
            <v>1.0155555555555555</v>
          </cell>
          <cell r="J209">
            <v>31.38</v>
          </cell>
          <cell r="K209" t="str">
            <v>OK</v>
          </cell>
        </row>
        <row r="210">
          <cell r="A210" t="str">
            <v>CIV0213</v>
          </cell>
          <cell r="B210" t="str">
            <v>Piso do tipo granito, com junta de vidro a cada metro polida/lavada.</v>
          </cell>
          <cell r="C210" t="str">
            <v>m2</v>
          </cell>
          <cell r="D210">
            <v>49.86</v>
          </cell>
          <cell r="E210">
            <v>53.69</v>
          </cell>
          <cell r="F210">
            <v>54.73</v>
          </cell>
          <cell r="G210" t="str">
            <v>OK</v>
          </cell>
          <cell r="H210" t="str">
            <v>OK</v>
          </cell>
          <cell r="I210">
            <v>1.0976734857601282</v>
          </cell>
          <cell r="J210">
            <v>53.69</v>
          </cell>
          <cell r="K210" t="str">
            <v>OK</v>
          </cell>
        </row>
        <row r="211">
          <cell r="A211" t="str">
            <v>CIV0214</v>
          </cell>
          <cell r="B211" t="str">
            <v>Placa de Obra: (4,30 x 2,20m)</v>
          </cell>
          <cell r="C211" t="str">
            <v>ud</v>
          </cell>
          <cell r="D211">
            <v>574.16</v>
          </cell>
          <cell r="E211">
            <v>618.29999999999995</v>
          </cell>
          <cell r="F211">
            <v>630.29999999999995</v>
          </cell>
          <cell r="G211" t="str">
            <v>OK</v>
          </cell>
          <cell r="H211" t="str">
            <v>OK</v>
          </cell>
          <cell r="I211">
            <v>1.0977776229622405</v>
          </cell>
          <cell r="J211">
            <v>618.29999999999995</v>
          </cell>
          <cell r="K211" t="str">
            <v>OK</v>
          </cell>
        </row>
        <row r="212">
          <cell r="A212" t="str">
            <v>CIV0215</v>
          </cell>
          <cell r="B212" t="str">
            <v>Placa de Obra: Financeira (4,00 x 2,00m)</v>
          </cell>
          <cell r="C212" t="str">
            <v>ud</v>
          </cell>
          <cell r="D212">
            <v>480</v>
          </cell>
          <cell r="E212">
            <v>516.9</v>
          </cell>
          <cell r="F212">
            <v>526.92999999999995</v>
          </cell>
          <cell r="G212" t="str">
            <v>OK</v>
          </cell>
          <cell r="H212" t="str">
            <v>OK</v>
          </cell>
          <cell r="I212">
            <v>1.0977708333333331</v>
          </cell>
          <cell r="J212">
            <v>516.9</v>
          </cell>
          <cell r="K212" t="str">
            <v>OK</v>
          </cell>
        </row>
        <row r="213">
          <cell r="A213" t="str">
            <v>CIV0216</v>
          </cell>
          <cell r="B213" t="str">
            <v>Ponto de luz com globo leitoso e lâmpada de 60W, inclusive eletrtodutos ,caixas,interruptor e fiação até o quadro de distribuiçao.</v>
          </cell>
          <cell r="C213" t="str">
            <v>ud</v>
          </cell>
          <cell r="D213">
            <v>117.42</v>
          </cell>
          <cell r="E213">
            <v>112.11</v>
          </cell>
          <cell r="F213">
            <v>114.28</v>
          </cell>
          <cell r="G213" t="str">
            <v>OK</v>
          </cell>
          <cell r="H213" t="str">
            <v>OK</v>
          </cell>
          <cell r="I213">
            <v>0.973258388690172</v>
          </cell>
          <cell r="J213">
            <v>112.11</v>
          </cell>
          <cell r="K213" t="str">
            <v>OK</v>
          </cell>
        </row>
        <row r="214">
          <cell r="A214" t="str">
            <v>CIV0217</v>
          </cell>
          <cell r="B214" t="str">
            <v xml:space="preserve">Regularização de contra-piso para revestimento de pisos empregando argamassa de cimento e areia no traço 1:4 com 3,  Cm de espessura. </v>
          </cell>
          <cell r="C214" t="str">
            <v>m²</v>
          </cell>
          <cell r="D214">
            <v>18.29</v>
          </cell>
          <cell r="E214">
            <v>18.29</v>
          </cell>
          <cell r="F214">
            <v>18.64</v>
          </cell>
          <cell r="G214" t="str">
            <v>OK</v>
          </cell>
          <cell r="H214" t="str">
            <v>OK</v>
          </cell>
          <cell r="I214">
            <v>1.0191361399671952</v>
          </cell>
          <cell r="J214">
            <v>18.29</v>
          </cell>
          <cell r="K214" t="str">
            <v>OK</v>
          </cell>
        </row>
        <row r="215">
          <cell r="A215" t="str">
            <v>CIV0218</v>
          </cell>
          <cell r="B215" t="str">
            <v>Remoção do material escavado até 200m, espalhado mecanicamente (20% de desempolamento), que servirá para o aterro da encosta.</v>
          </cell>
          <cell r="C215" t="str">
            <v>m3</v>
          </cell>
          <cell r="D215">
            <v>2.46</v>
          </cell>
          <cell r="E215">
            <v>2.65</v>
          </cell>
          <cell r="F215">
            <v>2.7</v>
          </cell>
          <cell r="G215" t="str">
            <v>OK</v>
          </cell>
          <cell r="H215" t="str">
            <v>OK</v>
          </cell>
          <cell r="I215">
            <v>1.0975609756097562</v>
          </cell>
          <cell r="J215">
            <v>2.65</v>
          </cell>
          <cell r="K215" t="str">
            <v>OK</v>
          </cell>
        </row>
        <row r="216">
          <cell r="A216" t="str">
            <v>CIV0219</v>
          </cell>
          <cell r="B216" t="str">
            <v>Revestimento interno da laje a base de fibra de vidro</v>
          </cell>
          <cell r="C216" t="str">
            <v>m²</v>
          </cell>
          <cell r="D216">
            <v>1838.2</v>
          </cell>
          <cell r="E216">
            <v>1297.03</v>
          </cell>
          <cell r="F216">
            <v>1322.19</v>
          </cell>
          <cell r="G216" t="str">
            <v>OK</v>
          </cell>
          <cell r="H216" t="str">
            <v>OK</v>
          </cell>
          <cell r="I216">
            <v>0.71928517027526928</v>
          </cell>
          <cell r="J216">
            <v>1297.03</v>
          </cell>
          <cell r="K216" t="str">
            <v>OK</v>
          </cell>
        </row>
        <row r="217">
          <cell r="A217" t="str">
            <v>CIV0220</v>
          </cell>
          <cell r="B217" t="str">
            <v>Tipo - 1 (1,20 x 1,20 x h=3,70)</v>
          </cell>
          <cell r="C217" t="str">
            <v xml:space="preserve">un </v>
          </cell>
          <cell r="D217">
            <v>5617.98</v>
          </cell>
          <cell r="E217">
            <v>5254.97</v>
          </cell>
          <cell r="F217">
            <v>5356.92</v>
          </cell>
          <cell r="G217" t="str">
            <v>OK</v>
          </cell>
          <cell r="H217" t="str">
            <v>OK</v>
          </cell>
          <cell r="I217">
            <v>0.95353134044621024</v>
          </cell>
          <cell r="J217">
            <v>5254.97</v>
          </cell>
          <cell r="K217" t="str">
            <v>OK</v>
          </cell>
        </row>
        <row r="218">
          <cell r="A218" t="str">
            <v>CIV0221</v>
          </cell>
          <cell r="B218" t="str">
            <v>Tipo - 2 (1,30 x 1,30 x h=4,30)</v>
          </cell>
          <cell r="C218" t="str">
            <v xml:space="preserve">un </v>
          </cell>
          <cell r="D218">
            <v>6973.76</v>
          </cell>
          <cell r="E218">
            <v>6527.33</v>
          </cell>
          <cell r="F218">
            <v>6653.96</v>
          </cell>
          <cell r="G218" t="str">
            <v>OK</v>
          </cell>
          <cell r="H218" t="str">
            <v>OK</v>
          </cell>
          <cell r="I218">
            <v>0.95414238516954986</v>
          </cell>
          <cell r="J218">
            <v>6527.33</v>
          </cell>
          <cell r="K218" t="str">
            <v>OK</v>
          </cell>
        </row>
        <row r="219">
          <cell r="A219" t="str">
            <v>CIV0222</v>
          </cell>
          <cell r="B219" t="str">
            <v>Tipo - 3 (1,20 x 1,20 x h=4,30)</v>
          </cell>
          <cell r="C219" t="str">
            <v xml:space="preserve">un </v>
          </cell>
          <cell r="D219">
            <v>6721</v>
          </cell>
          <cell r="E219">
            <v>6055.7</v>
          </cell>
          <cell r="F219">
            <v>6173.18</v>
          </cell>
          <cell r="G219" t="str">
            <v>OK</v>
          </cell>
          <cell r="H219" t="str">
            <v>OK</v>
          </cell>
          <cell r="I219">
            <v>0.91849129593810452</v>
          </cell>
          <cell r="J219">
            <v>6055.7</v>
          </cell>
          <cell r="K219" t="str">
            <v>OK</v>
          </cell>
        </row>
        <row r="220">
          <cell r="A220" t="str">
            <v>CIV0223</v>
          </cell>
          <cell r="B220" t="str">
            <v>Tipo - 4 (1,60 x 1,60 x h=4,30)</v>
          </cell>
          <cell r="C220" t="str">
            <v xml:space="preserve">un </v>
          </cell>
          <cell r="D220">
            <v>8539.6200000000008</v>
          </cell>
          <cell r="E220">
            <v>8092.19</v>
          </cell>
          <cell r="F220">
            <v>8249.18</v>
          </cell>
          <cell r="G220" t="str">
            <v>OK</v>
          </cell>
          <cell r="H220" t="str">
            <v>OK</v>
          </cell>
          <cell r="I220">
            <v>0.96598911895377071</v>
          </cell>
          <cell r="J220">
            <v>8092.19</v>
          </cell>
          <cell r="K220" t="str">
            <v>OK</v>
          </cell>
        </row>
        <row r="221">
          <cell r="A221" t="str">
            <v>CIV0224</v>
          </cell>
          <cell r="B221" t="str">
            <v>Tipo - 5 (1,80 x 2,00 x h=4,50)</v>
          </cell>
          <cell r="C221" t="str">
            <v xml:space="preserve">un </v>
          </cell>
          <cell r="D221">
            <v>10167.43</v>
          </cell>
          <cell r="E221">
            <v>9960.75</v>
          </cell>
          <cell r="F221">
            <v>10153.99</v>
          </cell>
          <cell r="G221" t="str">
            <v>OK</v>
          </cell>
          <cell r="H221" t="str">
            <v>OK</v>
          </cell>
          <cell r="I221">
            <v>0.9986781320353324</v>
          </cell>
          <cell r="J221">
            <v>9960.75</v>
          </cell>
          <cell r="K221" t="str">
            <v>OK</v>
          </cell>
        </row>
        <row r="222">
          <cell r="A222" t="str">
            <v>CIV0225</v>
          </cell>
          <cell r="B222" t="str">
            <v>Tipo - B (1395 x 1600mm)</v>
          </cell>
          <cell r="C222" t="str">
            <v xml:space="preserve">un </v>
          </cell>
          <cell r="D222">
            <v>819.26</v>
          </cell>
          <cell r="E222">
            <v>882.23</v>
          </cell>
          <cell r="F222">
            <v>899.35</v>
          </cell>
          <cell r="G222" t="str">
            <v>OK</v>
          </cell>
          <cell r="H222" t="str">
            <v>OK</v>
          </cell>
          <cell r="I222">
            <v>1.0977589532016698</v>
          </cell>
          <cell r="J222">
            <v>882.23</v>
          </cell>
          <cell r="K222" t="str">
            <v>OK</v>
          </cell>
        </row>
        <row r="223">
          <cell r="A223" t="str">
            <v>CIV0226</v>
          </cell>
          <cell r="B223" t="str">
            <v xml:space="preserve">Tipo - C (1095 x 1300mm) </v>
          </cell>
          <cell r="C223" t="str">
            <v xml:space="preserve">un </v>
          </cell>
          <cell r="D223">
            <v>521.21</v>
          </cell>
          <cell r="E223">
            <v>561.27</v>
          </cell>
          <cell r="F223">
            <v>572.16</v>
          </cell>
          <cell r="G223" t="str">
            <v>OK</v>
          </cell>
          <cell r="H223" t="str">
            <v>OK</v>
          </cell>
          <cell r="I223">
            <v>1.0977533048099613</v>
          </cell>
          <cell r="J223">
            <v>561.27</v>
          </cell>
          <cell r="K223" t="str">
            <v>OK</v>
          </cell>
        </row>
        <row r="224">
          <cell r="A224" t="str">
            <v>CIV0227</v>
          </cell>
          <cell r="B224" t="str">
            <v xml:space="preserve">Tipo - D (1595 x 1900mm) </v>
          </cell>
          <cell r="C224" t="str">
            <v xml:space="preserve">un </v>
          </cell>
          <cell r="D224">
            <v>1112.1600000000001</v>
          </cell>
          <cell r="E224">
            <v>1197.6500000000001</v>
          </cell>
          <cell r="F224">
            <v>1220.8800000000001</v>
          </cell>
          <cell r="G224" t="str">
            <v>OK</v>
          </cell>
          <cell r="H224" t="str">
            <v>OK</v>
          </cell>
          <cell r="I224">
            <v>1.09775571860164</v>
          </cell>
          <cell r="J224">
            <v>1197.6500000000001</v>
          </cell>
          <cell r="K224" t="str">
            <v>OK</v>
          </cell>
        </row>
        <row r="225">
          <cell r="A225" t="str">
            <v>CIV0228</v>
          </cell>
          <cell r="B225" t="str">
            <v xml:space="preserve">Tipo - E (1095 x 700mm) </v>
          </cell>
          <cell r="C225" t="str">
            <v xml:space="preserve">un </v>
          </cell>
          <cell r="D225">
            <v>282.64</v>
          </cell>
          <cell r="E225">
            <v>304.37</v>
          </cell>
          <cell r="F225">
            <v>310.27</v>
          </cell>
          <cell r="G225" t="str">
            <v>OK</v>
          </cell>
          <cell r="H225" t="str">
            <v>OK</v>
          </cell>
          <cell r="I225">
            <v>1.0977568638550808</v>
          </cell>
          <cell r="J225">
            <v>304.37</v>
          </cell>
          <cell r="K225" t="str">
            <v>OK</v>
          </cell>
        </row>
        <row r="226">
          <cell r="A226" t="str">
            <v>CIV0229</v>
          </cell>
          <cell r="B226" t="str">
            <v xml:space="preserve">Tipo - F (595 x 600mm) </v>
          </cell>
          <cell r="C226" t="str">
            <v xml:space="preserve">un </v>
          </cell>
          <cell r="D226">
            <v>131.04</v>
          </cell>
          <cell r="E226">
            <v>141.11000000000001</v>
          </cell>
          <cell r="F226">
            <v>143.85</v>
          </cell>
          <cell r="G226" t="str">
            <v>OK</v>
          </cell>
          <cell r="H226" t="str">
            <v>OK</v>
          </cell>
          <cell r="I226">
            <v>1.0977564102564104</v>
          </cell>
          <cell r="J226">
            <v>141.11000000000001</v>
          </cell>
          <cell r="K226" t="str">
            <v>OK</v>
          </cell>
        </row>
        <row r="227">
          <cell r="A227" t="str">
            <v>CIV0230</v>
          </cell>
          <cell r="B227" t="str">
            <v xml:space="preserve">Quatro veículos tipo passeio com até dois anos de fabricação em bom estado, com capacidade para cinco pessoas, equipados com ar condicionado, com seguro total, sendo todas as despesas de emplacamento, seguro revisões, reparos e manutenções, combustível e </v>
          </cell>
          <cell r="C227" t="str">
            <v>mês</v>
          </cell>
          <cell r="D227">
            <v>15793.56</v>
          </cell>
          <cell r="E227">
            <v>17007.53</v>
          </cell>
          <cell r="F227">
            <v>17337.48</v>
          </cell>
          <cell r="G227" t="str">
            <v>OK</v>
          </cell>
          <cell r="H227" t="str">
            <v>OK</v>
          </cell>
          <cell r="I227">
            <v>1.0977563006693867</v>
          </cell>
          <cell r="J227">
            <v>17007.53</v>
          </cell>
          <cell r="K227" t="str">
            <v>OK</v>
          </cell>
        </row>
        <row r="228">
          <cell r="A228" t="str">
            <v>CIV0231</v>
          </cell>
          <cell r="B228" t="str">
            <v>Três postos de vigilância patrimonial de 24 horas com vigilantes armados</v>
          </cell>
          <cell r="C228" t="str">
            <v>mês</v>
          </cell>
          <cell r="D228">
            <v>17971.43</v>
          </cell>
          <cell r="E228">
            <v>12680.64</v>
          </cell>
          <cell r="F228">
            <v>12926.64</v>
          </cell>
          <cell r="G228" t="str">
            <v>OK</v>
          </cell>
          <cell r="H228" t="str">
            <v>OK</v>
          </cell>
          <cell r="I228">
            <v>0.71928833709949624</v>
          </cell>
          <cell r="J228">
            <v>12680.64</v>
          </cell>
          <cell r="K228" t="str">
            <v>OK</v>
          </cell>
        </row>
        <row r="229">
          <cell r="A229" t="str">
            <v>CIV0233</v>
          </cell>
          <cell r="B229" t="str">
            <v>Grade de piso em ação 3/4"</v>
          </cell>
          <cell r="C229" t="str">
            <v>m2</v>
          </cell>
          <cell r="D229">
            <v>97.5</v>
          </cell>
          <cell r="E229">
            <v>105</v>
          </cell>
          <cell r="F229">
            <v>107.04</v>
          </cell>
          <cell r="G229" t="str">
            <v>OK</v>
          </cell>
          <cell r="H229" t="str">
            <v>OK</v>
          </cell>
          <cell r="I229">
            <v>1.0978461538461539</v>
          </cell>
          <cell r="J229">
            <v>105</v>
          </cell>
          <cell r="K229" t="str">
            <v>OK</v>
          </cell>
        </row>
        <row r="230">
          <cell r="A230" t="str">
            <v>CIV0234</v>
          </cell>
          <cell r="B230" t="str">
            <v>Ferro virado e colocado 1/2"</v>
          </cell>
          <cell r="C230" t="str">
            <v>Kg</v>
          </cell>
          <cell r="D230">
            <v>7.5</v>
          </cell>
          <cell r="E230">
            <v>5.81</v>
          </cell>
          <cell r="F230">
            <v>5.92</v>
          </cell>
          <cell r="G230" t="str">
            <v>OK</v>
          </cell>
          <cell r="H230" t="str">
            <v>OK</v>
          </cell>
          <cell r="I230">
            <v>0.78933333333333333</v>
          </cell>
          <cell r="J230">
            <v>5.81</v>
          </cell>
          <cell r="K230" t="str">
            <v>OK</v>
          </cell>
        </row>
        <row r="231">
          <cell r="A231" t="str">
            <v>CIV0235</v>
          </cell>
          <cell r="B231" t="str">
            <v>Regularização do talude com corte ou aterro com até 20cm de espessura</v>
          </cell>
          <cell r="C231" t="str">
            <v>m2</v>
          </cell>
          <cell r="D231">
            <v>2.83</v>
          </cell>
          <cell r="E231">
            <v>3.05</v>
          </cell>
          <cell r="F231">
            <v>3.11</v>
          </cell>
          <cell r="G231" t="str">
            <v>OK</v>
          </cell>
          <cell r="H231" t="str">
            <v>OK</v>
          </cell>
          <cell r="I231">
            <v>1.0989399293286219</v>
          </cell>
          <cell r="J231">
            <v>3.05</v>
          </cell>
          <cell r="K231" t="str">
            <v>OK</v>
          </cell>
        </row>
        <row r="232">
          <cell r="A232" t="str">
            <v>CIV0236</v>
          </cell>
          <cell r="B232" t="str">
            <v>Fornecimento e aplicação de manta PEAD de e=3mm.</v>
          </cell>
          <cell r="C232" t="str">
            <v>m2</v>
          </cell>
          <cell r="D232">
            <v>9</v>
          </cell>
          <cell r="E232">
            <v>9.69</v>
          </cell>
          <cell r="F232">
            <v>9.8800000000000008</v>
          </cell>
          <cell r="G232" t="str">
            <v>OK</v>
          </cell>
          <cell r="H232" t="str">
            <v>OK</v>
          </cell>
          <cell r="I232">
            <v>1.097777777777778</v>
          </cell>
          <cell r="J232">
            <v>9.69</v>
          </cell>
          <cell r="K232" t="str">
            <v>OK</v>
          </cell>
        </row>
        <row r="233">
          <cell r="A233" t="str">
            <v>CIV0237</v>
          </cell>
          <cell r="B233" t="str">
            <v>Construção de casa de polímerização.</v>
          </cell>
          <cell r="C233" t="str">
            <v>vb</v>
          </cell>
          <cell r="D233">
            <v>5500</v>
          </cell>
          <cell r="E233">
            <v>5922.76</v>
          </cell>
          <cell r="F233">
            <v>6037.66</v>
          </cell>
          <cell r="G233" t="str">
            <v>OK</v>
          </cell>
          <cell r="H233" t="str">
            <v>OK</v>
          </cell>
          <cell r="I233">
            <v>1.0977563636363636</v>
          </cell>
          <cell r="J233">
            <v>5922.76</v>
          </cell>
          <cell r="K233" t="str">
            <v>OK</v>
          </cell>
        </row>
        <row r="234">
          <cell r="A234" t="str">
            <v>CIV0238</v>
          </cell>
          <cell r="B234" t="str">
            <v>Fornecimento e instalação de reservatório de 7500l em fibra.</v>
          </cell>
          <cell r="C234" t="str">
            <v>Und</v>
          </cell>
          <cell r="D234">
            <v>3500</v>
          </cell>
          <cell r="E234">
            <v>3769.03</v>
          </cell>
          <cell r="F234">
            <v>3842.15</v>
          </cell>
          <cell r="G234" t="str">
            <v>OK</v>
          </cell>
          <cell r="H234" t="str">
            <v>OK</v>
          </cell>
          <cell r="I234">
            <v>1.0977571428571429</v>
          </cell>
          <cell r="J234">
            <v>3769.03</v>
          </cell>
          <cell r="K234" t="str">
            <v>OK</v>
          </cell>
        </row>
        <row r="235">
          <cell r="A235" t="str">
            <v>CIV0239</v>
          </cell>
          <cell r="B235" t="str">
            <v>Base para agitadores de polímero.</v>
          </cell>
          <cell r="C235" t="str">
            <v>Und</v>
          </cell>
          <cell r="D235">
            <v>1200</v>
          </cell>
          <cell r="E235">
            <v>1292.24</v>
          </cell>
          <cell r="F235">
            <v>1317.31</v>
          </cell>
          <cell r="G235" t="str">
            <v>OK</v>
          </cell>
          <cell r="H235" t="str">
            <v>OK</v>
          </cell>
          <cell r="I235">
            <v>1.0977583333333334</v>
          </cell>
          <cell r="J235">
            <v>1292.24</v>
          </cell>
          <cell r="K235" t="str">
            <v>OK</v>
          </cell>
        </row>
        <row r="236">
          <cell r="A236" t="str">
            <v>CIV0240</v>
          </cell>
          <cell r="B236" t="str">
            <v>de PVC/DEFoFo, inclusive conexões</v>
          </cell>
          <cell r="C236" t="str">
            <v>m</v>
          </cell>
          <cell r="D236">
            <v>2.5</v>
          </cell>
          <cell r="E236">
            <v>2.7</v>
          </cell>
          <cell r="F236">
            <v>2.75</v>
          </cell>
          <cell r="G236" t="str">
            <v>OK</v>
          </cell>
          <cell r="H236" t="str">
            <v>OK</v>
          </cell>
          <cell r="I236">
            <v>1.1000000000000001</v>
          </cell>
          <cell r="J236">
            <v>2.7</v>
          </cell>
          <cell r="K236" t="str">
            <v>OK</v>
          </cell>
        </row>
        <row r="237">
          <cell r="A237" t="str">
            <v>CIV0242</v>
          </cell>
          <cell r="B237" t="str">
            <v>DN=300mm</v>
          </cell>
          <cell r="C237" t="str">
            <v>m</v>
          </cell>
          <cell r="D237">
            <v>17.5</v>
          </cell>
          <cell r="E237">
            <v>18.850000000000001</v>
          </cell>
          <cell r="F237">
            <v>19.22</v>
          </cell>
          <cell r="G237" t="str">
            <v>OK</v>
          </cell>
          <cell r="H237" t="str">
            <v>OK</v>
          </cell>
          <cell r="I237">
            <v>1.0982857142857143</v>
          </cell>
          <cell r="J237">
            <v>18.850000000000001</v>
          </cell>
          <cell r="K237" t="str">
            <v>OK</v>
          </cell>
        </row>
        <row r="238">
          <cell r="A238" t="str">
            <v>CIV0243</v>
          </cell>
          <cell r="B238" t="str">
            <v>DN=800mm</v>
          </cell>
          <cell r="C238" t="str">
            <v>m</v>
          </cell>
          <cell r="D238">
            <v>33.54</v>
          </cell>
          <cell r="E238">
            <v>36.11</v>
          </cell>
          <cell r="F238">
            <v>36.81</v>
          </cell>
          <cell r="G238" t="str">
            <v>OK</v>
          </cell>
          <cell r="H238" t="str">
            <v>OK</v>
          </cell>
          <cell r="I238">
            <v>1.097495527728086</v>
          </cell>
          <cell r="J238">
            <v>36.11</v>
          </cell>
          <cell r="K238" t="str">
            <v>OK</v>
          </cell>
        </row>
        <row r="239">
          <cell r="A239" t="str">
            <v>CIV0244</v>
          </cell>
          <cell r="B239" t="str">
            <v>DN=1000mm</v>
          </cell>
          <cell r="C239" t="str">
            <v>m</v>
          </cell>
          <cell r="D239">
            <v>52.74</v>
          </cell>
          <cell r="E239">
            <v>56.79</v>
          </cell>
          <cell r="F239">
            <v>57.89</v>
          </cell>
          <cell r="G239" t="str">
            <v>OK</v>
          </cell>
          <cell r="H239" t="str">
            <v>OK</v>
          </cell>
          <cell r="I239">
            <v>1.0976488433826317</v>
          </cell>
          <cell r="J239">
            <v>56.79</v>
          </cell>
          <cell r="K239" t="str">
            <v>OK</v>
          </cell>
        </row>
        <row r="240">
          <cell r="A240" t="str">
            <v>CIV0260</v>
          </cell>
          <cell r="B240" t="str">
            <v xml:space="preserve">Cadastro de rede de esgoto </v>
          </cell>
          <cell r="C240" t="str">
            <v>m</v>
          </cell>
          <cell r="D240">
            <v>2.81</v>
          </cell>
          <cell r="E240">
            <v>2.81</v>
          </cell>
          <cell r="F240">
            <v>2.86</v>
          </cell>
          <cell r="G240" t="str">
            <v>OK</v>
          </cell>
          <cell r="H240" t="str">
            <v>OK</v>
          </cell>
          <cell r="I240">
            <v>1.0177935943060497</v>
          </cell>
          <cell r="J240" t="e">
            <v>#N/A</v>
          </cell>
          <cell r="K240" t="e">
            <v>#N/A</v>
          </cell>
        </row>
        <row r="241">
          <cell r="A241" t="str">
            <v>CIV0261</v>
          </cell>
          <cell r="B241" t="str">
            <v>Caiação em paredes internas executadas em 3 demãos.</v>
          </cell>
          <cell r="C241" t="str">
            <v>m²</v>
          </cell>
          <cell r="D241">
            <v>2.87</v>
          </cell>
          <cell r="E241">
            <v>2.87</v>
          </cell>
          <cell r="F241">
            <v>2.93</v>
          </cell>
          <cell r="G241" t="str">
            <v>OK</v>
          </cell>
          <cell r="H241" t="str">
            <v>OK</v>
          </cell>
          <cell r="I241">
            <v>1.0209059233449478</v>
          </cell>
          <cell r="J241" t="e">
            <v>#N/A</v>
          </cell>
          <cell r="K241" t="e">
            <v>#N/A</v>
          </cell>
        </row>
        <row r="242">
          <cell r="A242" t="str">
            <v>CIV0262</v>
          </cell>
          <cell r="B242" t="str">
            <v>Lancamento e aplicação nas formas</v>
          </cell>
          <cell r="C242" t="str">
            <v>m³</v>
          </cell>
          <cell r="D242">
            <v>54.21</v>
          </cell>
          <cell r="E242">
            <v>54.21</v>
          </cell>
          <cell r="F242">
            <v>55.26</v>
          </cell>
          <cell r="G242" t="str">
            <v>OK</v>
          </cell>
          <cell r="H242" t="str">
            <v>OK</v>
          </cell>
          <cell r="I242">
            <v>1.0193691200885444</v>
          </cell>
          <cell r="J242" t="e">
            <v>#N/A</v>
          </cell>
          <cell r="K242" t="e">
            <v>#N/A</v>
          </cell>
        </row>
        <row r="243">
          <cell r="A243" t="str">
            <v>CIV0263</v>
          </cell>
          <cell r="B243" t="str">
            <v>DEMOLIÇÃO PISO CIMENTADO SOB LASTRO DE CONCRETO SIMPLES(CALÇADA)</v>
          </cell>
          <cell r="C243" t="str">
            <v>m²</v>
          </cell>
          <cell r="D243">
            <v>8.3800000000000008</v>
          </cell>
          <cell r="E243">
            <v>8.3800000000000008</v>
          </cell>
          <cell r="F243">
            <v>8.5399999999999991</v>
          </cell>
          <cell r="G243" t="str">
            <v>OK</v>
          </cell>
          <cell r="H243" t="str">
            <v>OK</v>
          </cell>
          <cell r="I243">
            <v>1.0190930787589496</v>
          </cell>
          <cell r="J243" t="e">
            <v>#N/A</v>
          </cell>
          <cell r="K243" t="e">
            <v>#N/A</v>
          </cell>
        </row>
        <row r="244">
          <cell r="A244" t="str">
            <v>CIV0264</v>
          </cell>
          <cell r="B244" t="str">
            <v>Reposição em paralelepípedos graníticos, sobre coxim de areia com 6 cm de espessura, rejuntado com argamassa de cimento e areia no traço  1:2</v>
          </cell>
          <cell r="C244" t="str">
            <v>m2</v>
          </cell>
          <cell r="D244">
            <v>20.67</v>
          </cell>
          <cell r="E244">
            <v>20.67</v>
          </cell>
          <cell r="F244">
            <v>21.07</v>
          </cell>
          <cell r="G244" t="str">
            <v>OK</v>
          </cell>
          <cell r="H244" t="str">
            <v>OK</v>
          </cell>
          <cell r="I244">
            <v>1.0193517174649249</v>
          </cell>
          <cell r="J244" t="e">
            <v>#N/A</v>
          </cell>
          <cell r="K244" t="e">
            <v>#N/A</v>
          </cell>
        </row>
        <row r="245">
          <cell r="A245" t="str">
            <v>CIV0265</v>
          </cell>
          <cell r="B245" t="str">
            <v>Escavação mecanizada de cavas em material de 1ª categoria até 2,00 a 4,00m de profundidade.</v>
          </cell>
          <cell r="C245" t="str">
            <v>m3</v>
          </cell>
          <cell r="D245">
            <v>6.25</v>
          </cell>
          <cell r="E245">
            <v>6.25</v>
          </cell>
          <cell r="F245">
            <v>6.37</v>
          </cell>
          <cell r="G245" t="str">
            <v>OK</v>
          </cell>
          <cell r="H245" t="str">
            <v>OK</v>
          </cell>
          <cell r="I245">
            <v>1.0192000000000001</v>
          </cell>
          <cell r="J245" t="e">
            <v>#N/A</v>
          </cell>
          <cell r="K245" t="e">
            <v>#N/A</v>
          </cell>
        </row>
        <row r="246">
          <cell r="A246" t="str">
            <v>CIV0266</v>
          </cell>
          <cell r="B246" t="str">
            <v>Escavação manual de vala em material de 1ª categoria até 2,00m de profundidade</v>
          </cell>
          <cell r="C246" t="str">
            <v>m3</v>
          </cell>
          <cell r="D246">
            <v>18.489999999999998</v>
          </cell>
          <cell r="E246">
            <v>18.489999999999998</v>
          </cell>
          <cell r="F246">
            <v>18.850000000000001</v>
          </cell>
          <cell r="G246" t="str">
            <v>OK</v>
          </cell>
          <cell r="H246" t="str">
            <v>OK</v>
          </cell>
          <cell r="I246">
            <v>1.0194699837750136</v>
          </cell>
          <cell r="J246" t="e">
            <v>#N/A</v>
          </cell>
          <cell r="K246" t="e">
            <v>#N/A</v>
          </cell>
        </row>
        <row r="247">
          <cell r="A247" t="str">
            <v>CIV0267</v>
          </cell>
          <cell r="B247" t="str">
            <v>Escavação mecanizada de cavas em material de 1ª categoria até 4,00 a 6,00m de profundidade.</v>
          </cell>
          <cell r="C247" t="str">
            <v>m3</v>
          </cell>
          <cell r="D247">
            <v>9.11</v>
          </cell>
          <cell r="E247">
            <v>9.11</v>
          </cell>
          <cell r="F247">
            <v>9.2899999999999991</v>
          </cell>
          <cell r="G247" t="str">
            <v>OK</v>
          </cell>
          <cell r="H247" t="str">
            <v>OK</v>
          </cell>
          <cell r="I247">
            <v>1.0197585071350164</v>
          </cell>
          <cell r="J247" t="e">
            <v>#N/A</v>
          </cell>
          <cell r="K247" t="e">
            <v>#N/A</v>
          </cell>
        </row>
        <row r="248">
          <cell r="A248" t="str">
            <v>CIV0268</v>
          </cell>
          <cell r="B248" t="str">
            <v>Escavação mecânica em material de 1ª categoria até 2,00m de profundidade</v>
          </cell>
          <cell r="C248" t="str">
            <v>m3</v>
          </cell>
          <cell r="D248">
            <v>1.48</v>
          </cell>
          <cell r="E248">
            <v>1.48</v>
          </cell>
          <cell r="F248">
            <v>1.51</v>
          </cell>
          <cell r="G248" t="str">
            <v>OK</v>
          </cell>
          <cell r="H248" t="str">
            <v>OK</v>
          </cell>
          <cell r="I248">
            <v>1.0202702702702704</v>
          </cell>
          <cell r="J248" t="e">
            <v>#N/A</v>
          </cell>
          <cell r="K248" t="e">
            <v>#N/A</v>
          </cell>
        </row>
        <row r="249">
          <cell r="A249" t="str">
            <v>CIV0269</v>
          </cell>
          <cell r="B249" t="str">
            <v>Escavação mecanizada em material de primeira e/ ou segunda categoria de 2 a 4m de profundidade</v>
          </cell>
          <cell r="C249" t="str">
            <v>m3</v>
          </cell>
          <cell r="D249">
            <v>1.72</v>
          </cell>
          <cell r="E249">
            <v>1.72</v>
          </cell>
          <cell r="F249">
            <v>1.75</v>
          </cell>
          <cell r="G249" t="str">
            <v>OK</v>
          </cell>
          <cell r="H249" t="str">
            <v>OK</v>
          </cell>
          <cell r="I249">
            <v>1.0174418604651163</v>
          </cell>
          <cell r="J249" t="e">
            <v>#N/A</v>
          </cell>
          <cell r="K249" t="e">
            <v>#N/A</v>
          </cell>
        </row>
        <row r="250">
          <cell r="A250" t="str">
            <v>CIV0270</v>
          </cell>
          <cell r="B250" t="str">
            <v>ESCORAMENTO CONTÍNUO DE VALAS COM PRANCHAS METÁLICAS</v>
          </cell>
          <cell r="C250" t="str">
            <v>m²</v>
          </cell>
          <cell r="D250">
            <v>34.24</v>
          </cell>
          <cell r="E250">
            <v>34.24</v>
          </cell>
          <cell r="F250">
            <v>34.9</v>
          </cell>
          <cell r="G250" t="str">
            <v>OK</v>
          </cell>
          <cell r="H250" t="str">
            <v>OK</v>
          </cell>
          <cell r="I250">
            <v>1.0192757009345794</v>
          </cell>
          <cell r="J250" t="e">
            <v>#N/A</v>
          </cell>
          <cell r="K250" t="e">
            <v>#N/A</v>
          </cell>
        </row>
        <row r="251">
          <cell r="A251" t="str">
            <v>CIV0271</v>
          </cell>
          <cell r="B251" t="str">
            <v>Escoramento vertical de formas com pontaletes de madeira 3" x 3"</v>
          </cell>
          <cell r="C251" t="str">
            <v>m3</v>
          </cell>
          <cell r="D251">
            <v>17.11</v>
          </cell>
          <cell r="E251">
            <v>17.11</v>
          </cell>
          <cell r="F251">
            <v>17.440000000000001</v>
          </cell>
          <cell r="G251" t="str">
            <v>OK</v>
          </cell>
          <cell r="H251" t="str">
            <v>OK</v>
          </cell>
          <cell r="I251">
            <v>1.0192869666861486</v>
          </cell>
          <cell r="J251" t="e">
            <v>#N/A</v>
          </cell>
          <cell r="K251" t="e">
            <v>#N/A</v>
          </cell>
        </row>
        <row r="252">
          <cell r="A252" t="str">
            <v>CIV0272</v>
          </cell>
          <cell r="B252" t="str">
            <v>Aquisição e assentamento de tubos de PVC corrugado para dreno. DN = 150mm</v>
          </cell>
          <cell r="C252" t="str">
            <v>m</v>
          </cell>
          <cell r="D252">
            <v>30.4</v>
          </cell>
          <cell r="E252">
            <v>30.4</v>
          </cell>
          <cell r="F252">
            <v>30.99</v>
          </cell>
          <cell r="G252" t="str">
            <v>OK</v>
          </cell>
          <cell r="H252" t="str">
            <v>OK</v>
          </cell>
          <cell r="I252">
            <v>1.0194078947368421</v>
          </cell>
          <cell r="J252" t="e">
            <v>#N/A</v>
          </cell>
          <cell r="K252" t="e">
            <v>#N/A</v>
          </cell>
        </row>
        <row r="253">
          <cell r="A253" t="str">
            <v>CIV0273</v>
          </cell>
          <cell r="B253" t="str">
            <v>Locação e nivelamento de valas para coletor com uso de equipamentos topógráficos</v>
          </cell>
          <cell r="C253" t="str">
            <v>m</v>
          </cell>
          <cell r="D253">
            <v>2.87</v>
          </cell>
          <cell r="E253">
            <v>2.87</v>
          </cell>
          <cell r="F253">
            <v>2.93</v>
          </cell>
          <cell r="G253" t="str">
            <v>OK</v>
          </cell>
          <cell r="H253" t="str">
            <v>OK</v>
          </cell>
          <cell r="I253">
            <v>1.0209059233449478</v>
          </cell>
          <cell r="J253" t="e">
            <v>#N/A</v>
          </cell>
          <cell r="K253" t="e">
            <v>#N/A</v>
          </cell>
        </row>
        <row r="254">
          <cell r="A254" t="str">
            <v>CIV0274</v>
          </cell>
          <cell r="B254" t="str">
            <v>PINTURA DE PAREDE INTERNA COM TINTA LÁTEX A BASE DE PVA COM DUAS DEMÃOS CONTENDO EMASSAMENTO</v>
          </cell>
          <cell r="C254" t="str">
            <v>m²</v>
          </cell>
          <cell r="D254">
            <v>6.99</v>
          </cell>
          <cell r="E254">
            <v>6.99</v>
          </cell>
          <cell r="F254">
            <v>7.13</v>
          </cell>
          <cell r="G254" t="str">
            <v>OK</v>
          </cell>
          <cell r="H254" t="str">
            <v>OK</v>
          </cell>
          <cell r="I254">
            <v>1.0200286123032904</v>
          </cell>
          <cell r="J254" t="e">
            <v>#N/A</v>
          </cell>
          <cell r="K254" t="e">
            <v>#N/A</v>
          </cell>
        </row>
        <row r="255">
          <cell r="A255" t="str">
            <v>CIV0275</v>
          </cell>
          <cell r="B255" t="str">
            <v>PONTO DE ESGOTO PARA RALO SINFONADO, INCLUSIVE RALO, TUBOS E CONEXÕES ATÉ A COLUNA OU SUBCOLETOR</v>
          </cell>
          <cell r="C255" t="str">
            <v>ud</v>
          </cell>
          <cell r="D255">
            <v>47.92</v>
          </cell>
          <cell r="E255">
            <v>47.92</v>
          </cell>
          <cell r="F255">
            <v>48.85</v>
          </cell>
          <cell r="G255" t="str">
            <v>OK</v>
          </cell>
          <cell r="H255" t="str">
            <v>OK</v>
          </cell>
          <cell r="I255">
            <v>1.01940734557596</v>
          </cell>
          <cell r="J255" t="e">
            <v>#N/A</v>
          </cell>
          <cell r="K255" t="e">
            <v>#N/A</v>
          </cell>
        </row>
        <row r="256">
          <cell r="A256" t="str">
            <v>CIV0276</v>
          </cell>
          <cell r="B256" t="str">
            <v>Ponto de esgoto para latório / lavandaria, inclusive tubos e conexões em PVC rígidosoldável até a coluna ou subcoletor.</v>
          </cell>
          <cell r="C256" t="str">
            <v>ud</v>
          </cell>
          <cell r="D256">
            <v>42.56</v>
          </cell>
          <cell r="E256">
            <v>42.56</v>
          </cell>
          <cell r="F256">
            <v>43.39</v>
          </cell>
          <cell r="G256" t="str">
            <v>OK</v>
          </cell>
          <cell r="H256" t="str">
            <v>OK</v>
          </cell>
          <cell r="I256">
            <v>1.0195018796992481</v>
          </cell>
          <cell r="J256" t="e">
            <v>#N/A</v>
          </cell>
          <cell r="K256" t="e">
            <v>#N/A</v>
          </cell>
        </row>
        <row r="257">
          <cell r="A257" t="str">
            <v>CIV0277</v>
          </cell>
          <cell r="B257" t="str">
            <v xml:space="preserve">Reaterro apiloado em camadas de 0,20 m com reaproveitamento do material escavado </v>
          </cell>
          <cell r="C257" t="str">
            <v>m3</v>
          </cell>
          <cell r="D257">
            <v>22.57</v>
          </cell>
          <cell r="E257">
            <v>22.57</v>
          </cell>
          <cell r="F257">
            <v>23.01</v>
          </cell>
          <cell r="G257" t="str">
            <v>OK</v>
          </cell>
          <cell r="H257" t="str">
            <v>OK</v>
          </cell>
          <cell r="I257">
            <v>1.0194949047408064</v>
          </cell>
          <cell r="J257" t="e">
            <v>#N/A</v>
          </cell>
          <cell r="K257" t="e">
            <v>#N/A</v>
          </cell>
        </row>
        <row r="258">
          <cell r="A258" t="str">
            <v>CIV0278</v>
          </cell>
          <cell r="B258" t="str">
            <v>Reaterro compactado mecanicamente em camadas de 0,20 m com material argilo arenoso (inclusive fornecimento do material)</v>
          </cell>
          <cell r="C258" t="str">
            <v>m3</v>
          </cell>
          <cell r="D258">
            <v>17.63</v>
          </cell>
          <cell r="E258">
            <v>17.63</v>
          </cell>
          <cell r="F258">
            <v>17.97</v>
          </cell>
          <cell r="G258" t="str">
            <v>OK</v>
          </cell>
          <cell r="H258" t="str">
            <v>OK</v>
          </cell>
          <cell r="I258">
            <v>1.019285309132161</v>
          </cell>
          <cell r="J258" t="e">
            <v>#N/A</v>
          </cell>
          <cell r="K258" t="e">
            <v>#N/A</v>
          </cell>
        </row>
        <row r="259">
          <cell r="A259" t="str">
            <v>CIV0279</v>
          </cell>
          <cell r="B259" t="str">
            <v>Bota fora inclusive carga e descarga acima de 2Km</v>
          </cell>
          <cell r="C259" t="str">
            <v>m3</v>
          </cell>
          <cell r="D259">
            <v>2.46</v>
          </cell>
          <cell r="E259">
            <v>2.46</v>
          </cell>
          <cell r="F259">
            <v>2.5099999999999998</v>
          </cell>
          <cell r="G259" t="str">
            <v>OK</v>
          </cell>
          <cell r="H259" t="str">
            <v>OK</v>
          </cell>
          <cell r="I259">
            <v>1.0203252032520325</v>
          </cell>
          <cell r="J259" t="e">
            <v>#N/A</v>
          </cell>
          <cell r="K259" t="e">
            <v>#N/A</v>
          </cell>
        </row>
        <row r="260">
          <cell r="A260" t="str">
            <v>CIV0280</v>
          </cell>
          <cell r="B260" t="str">
            <v>Remoção do material escavado em caminhão basculante, até 1,0 km, inclusive carga mecânica e descarga (medido no corte)</v>
          </cell>
          <cell r="C260" t="str">
            <v>m3</v>
          </cell>
          <cell r="D260">
            <v>2.09</v>
          </cell>
          <cell r="E260">
            <v>2.09</v>
          </cell>
          <cell r="F260">
            <v>2.13</v>
          </cell>
          <cell r="G260" t="str">
            <v>OK</v>
          </cell>
          <cell r="H260" t="str">
            <v>OK</v>
          </cell>
          <cell r="I260">
            <v>1.0191387559808613</v>
          </cell>
          <cell r="J260" t="e">
            <v>#N/A</v>
          </cell>
          <cell r="K260" t="e">
            <v>#N/A</v>
          </cell>
        </row>
        <row r="261">
          <cell r="A261" t="str">
            <v>CIV0281</v>
          </cell>
          <cell r="B261" t="str">
            <v xml:space="preserve">SINALIZAÇÃO ABERTA COM ILUMINAÇÃO, COM CAVALETES EM MADEIRA, ESPAÇADOS A CADA 2,0M, CONFORME PADRÃO COMPESA. </v>
          </cell>
          <cell r="C261" t="str">
            <v>m</v>
          </cell>
          <cell r="D261">
            <v>3.43</v>
          </cell>
          <cell r="E261">
            <v>3.43</v>
          </cell>
          <cell r="F261">
            <v>3.5</v>
          </cell>
          <cell r="G261" t="str">
            <v>OK</v>
          </cell>
          <cell r="H261" t="str">
            <v>OK</v>
          </cell>
          <cell r="I261">
            <v>1.0204081632653061</v>
          </cell>
          <cell r="J261" t="e">
            <v>#N/A</v>
          </cell>
          <cell r="K261" t="e">
            <v>#N/A</v>
          </cell>
        </row>
        <row r="262">
          <cell r="A262" t="str">
            <v>CIV0282</v>
          </cell>
          <cell r="B262" t="str">
            <v>Lastro de areia grossa</v>
          </cell>
          <cell r="C262" t="str">
            <v>m3</v>
          </cell>
          <cell r="D262">
            <v>53.3</v>
          </cell>
          <cell r="E262">
            <v>53.3</v>
          </cell>
          <cell r="F262">
            <v>54.33</v>
          </cell>
          <cell r="G262" t="str">
            <v>OK</v>
          </cell>
          <cell r="H262" t="str">
            <v>OK</v>
          </cell>
          <cell r="I262">
            <v>1.0193245778611633</v>
          </cell>
          <cell r="J262" t="e">
            <v>#N/A</v>
          </cell>
          <cell r="K262" t="e">
            <v>#N/A</v>
          </cell>
        </row>
        <row r="263">
          <cell r="A263" t="str">
            <v>CIV0283</v>
          </cell>
          <cell r="B263" t="str">
            <v>DN = 750mm</v>
          </cell>
          <cell r="C263" t="str">
            <v xml:space="preserve">un </v>
          </cell>
          <cell r="D263">
            <v>520</v>
          </cell>
          <cell r="E263">
            <v>520</v>
          </cell>
          <cell r="F263">
            <v>530.09</v>
          </cell>
          <cell r="G263" t="str">
            <v>OK</v>
          </cell>
          <cell r="H263" t="str">
            <v>OK</v>
          </cell>
          <cell r="I263">
            <v>1.0194038461538462</v>
          </cell>
          <cell r="J263" t="e">
            <v>#N/A</v>
          </cell>
          <cell r="K263" t="e">
            <v>#N/A</v>
          </cell>
        </row>
        <row r="264">
          <cell r="A264" t="str">
            <v>CIV0284</v>
          </cell>
          <cell r="B264" t="str">
            <v>DN = 800mm</v>
          </cell>
          <cell r="C264" t="str">
            <v xml:space="preserve">un </v>
          </cell>
          <cell r="D264">
            <v>650</v>
          </cell>
          <cell r="E264">
            <v>650</v>
          </cell>
          <cell r="F264">
            <v>662.61</v>
          </cell>
          <cell r="G264" t="str">
            <v>OK</v>
          </cell>
          <cell r="H264" t="str">
            <v>OK</v>
          </cell>
          <cell r="I264">
            <v>1.0194000000000001</v>
          </cell>
          <cell r="J264" t="e">
            <v>#N/A</v>
          </cell>
          <cell r="K264" t="e">
            <v>#N/A</v>
          </cell>
        </row>
        <row r="265">
          <cell r="A265" t="str">
            <v>CIV0285</v>
          </cell>
          <cell r="B265" t="str">
            <v>CONCRETO MAGRO 1:4:8 PREPARADO E LANÇADO</v>
          </cell>
          <cell r="C265" t="str">
            <v>m3</v>
          </cell>
          <cell r="D265">
            <v>251.45</v>
          </cell>
          <cell r="E265">
            <v>251.45</v>
          </cell>
          <cell r="F265">
            <v>256.33</v>
          </cell>
          <cell r="G265" t="str">
            <v>OK</v>
          </cell>
          <cell r="H265" t="str">
            <v>OK</v>
          </cell>
          <cell r="I265">
            <v>1.0194074368661761</v>
          </cell>
          <cell r="J265" t="e">
            <v>#N/A</v>
          </cell>
          <cell r="K265" t="e">
            <v>#N/A</v>
          </cell>
        </row>
        <row r="266">
          <cell r="A266" t="str">
            <v>CIV0286</v>
          </cell>
          <cell r="B266" t="str">
            <v>Demolição de concreto armado manual, c/ martelete, inclusive remoção até 2,0 Km</v>
          </cell>
          <cell r="C266" t="str">
            <v>m3</v>
          </cell>
          <cell r="D266">
            <v>117.77</v>
          </cell>
          <cell r="E266">
            <v>117.77</v>
          </cell>
          <cell r="F266">
            <v>120.05</v>
          </cell>
          <cell r="G266" t="str">
            <v>OK</v>
          </cell>
          <cell r="H266" t="str">
            <v>OK</v>
          </cell>
          <cell r="I266">
            <v>1.0193597690413518</v>
          </cell>
          <cell r="J266" t="e">
            <v>#N/A</v>
          </cell>
          <cell r="K266" t="e">
            <v>#N/A</v>
          </cell>
        </row>
        <row r="267">
          <cell r="A267" t="str">
            <v>CIV0287</v>
          </cell>
          <cell r="B267" t="str">
            <v>Limpeza manual do terreno</v>
          </cell>
          <cell r="C267" t="str">
            <v>m2</v>
          </cell>
          <cell r="D267">
            <v>1.43</v>
          </cell>
          <cell r="E267">
            <v>1.43</v>
          </cell>
          <cell r="F267">
            <v>1.46</v>
          </cell>
          <cell r="G267" t="str">
            <v>OK</v>
          </cell>
          <cell r="H267" t="str">
            <v>OK</v>
          </cell>
          <cell r="I267">
            <v>1.020979020979021</v>
          </cell>
          <cell r="J267" t="e">
            <v>#N/A</v>
          </cell>
          <cell r="K267" t="e">
            <v>#N/A</v>
          </cell>
        </row>
        <row r="268">
          <cell r="A268" t="str">
            <v>CIV0288</v>
          </cell>
          <cell r="B268" t="str">
            <v>Massa Única</v>
          </cell>
          <cell r="C268" t="str">
            <v>m²</v>
          </cell>
          <cell r="D268">
            <v>19.190000000000001</v>
          </cell>
          <cell r="E268">
            <v>19.190000000000001</v>
          </cell>
          <cell r="F268">
            <v>19.559999999999999</v>
          </cell>
          <cell r="G268" t="str">
            <v>OK</v>
          </cell>
          <cell r="H268" t="str">
            <v>OK</v>
          </cell>
          <cell r="I268">
            <v>1.0192808754559666</v>
          </cell>
          <cell r="J268" t="e">
            <v>#N/A</v>
          </cell>
          <cell r="K268" t="e">
            <v>#N/A</v>
          </cell>
        </row>
        <row r="269">
          <cell r="A269" t="str">
            <v>CIV0289</v>
          </cell>
          <cell r="B269" t="str">
            <v>Pintura em paredes internas com tinta látex a base de PVA 2 demãos</v>
          </cell>
          <cell r="C269" t="str">
            <v>m²</v>
          </cell>
          <cell r="D269">
            <v>6.99</v>
          </cell>
          <cell r="E269">
            <v>6.99</v>
          </cell>
          <cell r="F269">
            <v>7.13</v>
          </cell>
          <cell r="G269" t="str">
            <v>OK</v>
          </cell>
          <cell r="H269" t="str">
            <v>OK</v>
          </cell>
          <cell r="I269">
            <v>1.0200286123032904</v>
          </cell>
          <cell r="J269" t="e">
            <v>#N/A</v>
          </cell>
          <cell r="K269" t="e">
            <v>#N/A</v>
          </cell>
        </row>
        <row r="270">
          <cell r="A270" t="str">
            <v>CIV0290</v>
          </cell>
          <cell r="B270" t="str">
            <v>PISO DE CIMENTO COM JUNTAS DE VIDRO</v>
          </cell>
          <cell r="C270" t="str">
            <v>m²</v>
          </cell>
          <cell r="D270">
            <v>24.96</v>
          </cell>
          <cell r="E270">
            <v>24.96</v>
          </cell>
          <cell r="F270">
            <v>25.44</v>
          </cell>
          <cell r="G270" t="str">
            <v>OK</v>
          </cell>
          <cell r="H270" t="str">
            <v>OK</v>
          </cell>
          <cell r="I270">
            <v>1.0192307692307692</v>
          </cell>
          <cell r="J270" t="e">
            <v>#N/A</v>
          </cell>
          <cell r="K270" t="e">
            <v>#N/A</v>
          </cell>
        </row>
        <row r="271">
          <cell r="A271" t="str">
            <v>CIV5001</v>
          </cell>
          <cell r="B271" t="str">
            <v>Ponto de esgoto para ralo sinfonado, inclusive tubos e conexões em PVC rígidosoldável até a coluna ou subcoletor.</v>
          </cell>
          <cell r="C271" t="str">
            <v>ud</v>
          </cell>
          <cell r="D271">
            <v>47.92</v>
          </cell>
          <cell r="E271">
            <v>46.8</v>
          </cell>
          <cell r="F271">
            <v>47.71</v>
          </cell>
          <cell r="G271" t="str">
            <v>OK</v>
          </cell>
          <cell r="H271" t="str">
            <v>OK</v>
          </cell>
          <cell r="I271">
            <v>0.99561769616026707</v>
          </cell>
          <cell r="J271">
            <v>46.8</v>
          </cell>
          <cell r="K271" t="str">
            <v>OK</v>
          </cell>
        </row>
        <row r="272">
          <cell r="A272" t="str">
            <v>CIV5002</v>
          </cell>
          <cell r="B272" t="str">
            <v>Ponto de esgoto para vaso sanitário, inclusive tubos e conexões em PVC rígidosoldável até a coluna ou subcoletor.</v>
          </cell>
          <cell r="C272" t="str">
            <v>ud</v>
          </cell>
          <cell r="D272">
            <v>66</v>
          </cell>
          <cell r="E272">
            <v>64.45</v>
          </cell>
          <cell r="F272">
            <v>65.7</v>
          </cell>
          <cell r="G272" t="str">
            <v>OK</v>
          </cell>
          <cell r="H272" t="str">
            <v>OK</v>
          </cell>
          <cell r="I272">
            <v>0.99545454545454548</v>
          </cell>
          <cell r="J272">
            <v>64.45</v>
          </cell>
          <cell r="K272" t="str">
            <v>OK</v>
          </cell>
        </row>
        <row r="273">
          <cell r="A273" t="str">
            <v>CIV5003</v>
          </cell>
          <cell r="B273" t="str">
            <v>Fornecimento e assentamento de lavatório de louça branca, sem coluna,e torneira de pressão com acabamento cromado DN = 1/2", inclusive acessórios correspondentes.</v>
          </cell>
          <cell r="C273" t="str">
            <v>ud</v>
          </cell>
          <cell r="D273">
            <v>71.459999999999994</v>
          </cell>
          <cell r="E273">
            <v>69.790000000000006</v>
          </cell>
          <cell r="F273">
            <v>71.14</v>
          </cell>
          <cell r="G273" t="str">
            <v>OK</v>
          </cell>
          <cell r="H273" t="str">
            <v>OK</v>
          </cell>
          <cell r="I273">
            <v>0.99552197033305356</v>
          </cell>
          <cell r="J273">
            <v>69.790000000000006</v>
          </cell>
          <cell r="K273" t="str">
            <v>OK</v>
          </cell>
        </row>
        <row r="274">
          <cell r="A274" t="str">
            <v>CIV5005</v>
          </cell>
          <cell r="B274" t="str">
            <v>Acompanhamento e treinamento da equipe da COMPESA durante a fase de pre- operação  das ETAS. Nesta fase  a contratada deverá disponibilizar uma equipe de no minimo : 1 (um) engenheiro quimico ou quimico e 3 (tres)  técnicos de manutenção eletro-mecanica c</v>
          </cell>
          <cell r="C274" t="str">
            <v>mês</v>
          </cell>
          <cell r="D274">
            <v>33298.720000000001</v>
          </cell>
          <cell r="E274">
            <v>32516.84</v>
          </cell>
          <cell r="F274">
            <v>33147.67</v>
          </cell>
          <cell r="G274" t="str">
            <v>OK</v>
          </cell>
          <cell r="H274" t="str">
            <v>OK</v>
          </cell>
          <cell r="I274">
            <v>0.99546378959911963</v>
          </cell>
          <cell r="J274">
            <v>32516.84</v>
          </cell>
          <cell r="K274" t="str">
            <v>OK</v>
          </cell>
        </row>
        <row r="275">
          <cell r="A275" t="str">
            <v>CIV5006</v>
          </cell>
          <cell r="B275" t="str">
            <v>Elaboração de manual de operação das Estações de Tratamento do Sistema Gurjaú , Matapagipe, detalhando todas as fases de operação, inclusive sistema eletromecanicos bem como controle do efluente até o destino final. O documento deverá ser entregue em meio</v>
          </cell>
          <cell r="C275" t="str">
            <v>ud</v>
          </cell>
          <cell r="D275">
            <v>52780</v>
          </cell>
          <cell r="E275">
            <v>51540.69</v>
          </cell>
          <cell r="F275">
            <v>52540.58</v>
          </cell>
          <cell r="G275" t="str">
            <v>OK</v>
          </cell>
          <cell r="H275" t="str">
            <v>OK</v>
          </cell>
          <cell r="I275">
            <v>0.99546381205001899</v>
          </cell>
          <cell r="J275">
            <v>51540.69</v>
          </cell>
          <cell r="K275" t="str">
            <v>OK</v>
          </cell>
        </row>
        <row r="276">
          <cell r="A276" t="str">
            <v>CIV5007</v>
          </cell>
          <cell r="B276" t="str">
            <v>Implantação de ponto geodésico em área interna, inclusive monumentalização, de acordo com as especificações técnicas do Setor de Cadastro Técnico da Compesa</v>
          </cell>
          <cell r="C276" t="str">
            <v>ud</v>
          </cell>
          <cell r="D276">
            <v>310.87</v>
          </cell>
          <cell r="E276">
            <v>303.57</v>
          </cell>
          <cell r="F276">
            <v>309.45999999999998</v>
          </cell>
          <cell r="G276" t="str">
            <v>OK</v>
          </cell>
          <cell r="H276" t="str">
            <v>OK</v>
          </cell>
          <cell r="I276">
            <v>0.99546434200791323</v>
          </cell>
          <cell r="J276">
            <v>303.57</v>
          </cell>
          <cell r="K276" t="str">
            <v>OK</v>
          </cell>
        </row>
        <row r="277">
          <cell r="A277" t="str">
            <v>CIV5008</v>
          </cell>
          <cell r="B277" t="str">
            <v>PONTO DE AGUA PARA LAVATORIO DE LOUÇA BRANCA,  SEM COLUNA ,E TORNEIRA DE PRESSÃO COM ACABAMENTO CROMADO DE 1/2 " INCLUSIVE ACESSORIOS CORRESPONDENTES</v>
          </cell>
          <cell r="C277" t="str">
            <v>ud</v>
          </cell>
          <cell r="D277">
            <v>86.91</v>
          </cell>
          <cell r="E277">
            <v>84.86</v>
          </cell>
          <cell r="F277">
            <v>86.51</v>
          </cell>
          <cell r="G277" t="str">
            <v>OK</v>
          </cell>
          <cell r="H277" t="str">
            <v>OK</v>
          </cell>
          <cell r="I277">
            <v>0.99539753768266037</v>
          </cell>
          <cell r="J277">
            <v>84.86</v>
          </cell>
          <cell r="K277" t="str">
            <v>OK</v>
          </cell>
        </row>
        <row r="278">
          <cell r="A278" t="str">
            <v>CIV9999</v>
          </cell>
          <cell r="B278" t="str">
            <v>CADASTRO TÉCNICO DA OBRA DA CASA DE QUÍMICA  EM MEIO DIGITAL</v>
          </cell>
          <cell r="C278" t="str">
            <v>prancha</v>
          </cell>
          <cell r="D278">
            <v>130</v>
          </cell>
          <cell r="E278">
            <v>139.99</v>
          </cell>
          <cell r="F278">
            <v>142.71</v>
          </cell>
          <cell r="G278" t="str">
            <v>OK</v>
          </cell>
          <cell r="H278" t="str">
            <v>OK</v>
          </cell>
          <cell r="I278">
            <v>1.0977692307692308</v>
          </cell>
          <cell r="J278">
            <v>139.99</v>
          </cell>
          <cell r="K278" t="str">
            <v>OK</v>
          </cell>
        </row>
        <row r="279">
          <cell r="A279" t="str">
            <v>ELET001</v>
          </cell>
          <cell r="B279" t="str">
            <v>Transformador trifásico a seco, encapsulado em resina de epoxi, com relé de temperatura para alarme e desligamento, nas dimensões máximas de 1480x1600x900 mm (Alt, Comp, Larg), com rodas bidirecionais, 500kVA, 60Hz, tensão primária 13800/13200/12600/12000</v>
          </cell>
          <cell r="C279" t="str">
            <v>un</v>
          </cell>
          <cell r="D279">
            <v>48378.1</v>
          </cell>
          <cell r="E279">
            <v>48378.1</v>
          </cell>
          <cell r="F279">
            <v>49316.639999999999</v>
          </cell>
          <cell r="G279" t="str">
            <v>OK</v>
          </cell>
          <cell r="H279" t="str">
            <v>OK</v>
          </cell>
          <cell r="I279">
            <v>1.0194001004586786</v>
          </cell>
          <cell r="J279">
            <v>60710.94</v>
          </cell>
          <cell r="K279" t="str">
            <v>OK</v>
          </cell>
        </row>
        <row r="280">
          <cell r="A280" t="str">
            <v>ELET002</v>
          </cell>
          <cell r="B280" t="str">
            <v>Cabo de cobre singelo 300mm², 70°C, 1000V, isolação em PVC, encordoamento classe 2</v>
          </cell>
          <cell r="C280" t="str">
            <v>m</v>
          </cell>
          <cell r="D280">
            <v>101.26</v>
          </cell>
          <cell r="E280">
            <v>101.26</v>
          </cell>
          <cell r="F280">
            <v>103.22</v>
          </cell>
          <cell r="G280" t="str">
            <v>OK</v>
          </cell>
          <cell r="H280" t="str">
            <v>OK</v>
          </cell>
          <cell r="I280">
            <v>1.0193561129764961</v>
          </cell>
          <cell r="J280">
            <v>127.08</v>
          </cell>
          <cell r="K280" t="str">
            <v>OK</v>
          </cell>
        </row>
        <row r="281">
          <cell r="A281" t="str">
            <v>ELET003</v>
          </cell>
          <cell r="B281" t="str">
            <v>Cabo de cobre singelo 95mm², 70°C, 1000V, isolação em PVC, encordoamento classe 5</v>
          </cell>
          <cell r="C281" t="str">
            <v>m</v>
          </cell>
          <cell r="D281">
            <v>39.369999999999997</v>
          </cell>
          <cell r="E281">
            <v>39.369999999999997</v>
          </cell>
          <cell r="F281">
            <v>40.130000000000003</v>
          </cell>
          <cell r="G281" t="str">
            <v>OK</v>
          </cell>
          <cell r="H281" t="str">
            <v>OK</v>
          </cell>
          <cell r="I281">
            <v>1.0193040386080774</v>
          </cell>
          <cell r="J281">
            <v>49.41</v>
          </cell>
          <cell r="K281" t="str">
            <v>OK</v>
          </cell>
        </row>
        <row r="282">
          <cell r="A282" t="str">
            <v>ELET004</v>
          </cell>
          <cell r="B282" t="str">
            <v>Disjuntor em caixa moldada termomagnético,  tripolar – 800A – 600V – 25 kA</v>
          </cell>
          <cell r="C282" t="str">
            <v>un</v>
          </cell>
          <cell r="D282">
            <v>4612.8</v>
          </cell>
          <cell r="E282">
            <v>4508.37</v>
          </cell>
          <cell r="F282">
            <v>4595.83</v>
          </cell>
          <cell r="G282" t="str">
            <v>OK</v>
          </cell>
          <cell r="H282" t="str">
            <v>OK</v>
          </cell>
          <cell r="I282">
            <v>0.9963211064862989</v>
          </cell>
          <cell r="J282">
            <v>4508.37</v>
          </cell>
          <cell r="K282" t="str">
            <v>OK</v>
          </cell>
        </row>
        <row r="283">
          <cell r="A283" t="str">
            <v>ELET005</v>
          </cell>
          <cell r="B283" t="str">
            <v>Terminal de pressão p/ cabo de cobre 300mm²</v>
          </cell>
          <cell r="C283" t="str">
            <v>un</v>
          </cell>
          <cell r="D283">
            <v>16.87</v>
          </cell>
          <cell r="E283">
            <v>13.85</v>
          </cell>
          <cell r="F283">
            <v>14.12</v>
          </cell>
          <cell r="G283" t="str">
            <v>OK</v>
          </cell>
          <cell r="H283" t="str">
            <v>OK</v>
          </cell>
          <cell r="I283">
            <v>0.83698873740367508</v>
          </cell>
          <cell r="J283">
            <v>13.85</v>
          </cell>
          <cell r="K283" t="str">
            <v>OK</v>
          </cell>
        </row>
        <row r="284">
          <cell r="A284" t="str">
            <v>ELET006</v>
          </cell>
          <cell r="B284" t="str">
            <v>Fornecimento,  de painel de comando, nas dimensões mínimas de 2300 x 4000 x 600mm (ALP), c/ pintura eletrostática a base de pó de epoxi na cor cinza RAL 7032 e tratamento anti-óxido, com argolas de suspensão, ventiladores nas portas,  porta documentos, te</v>
          </cell>
          <cell r="C284" t="str">
            <v>vb</v>
          </cell>
          <cell r="D284">
            <v>168760.82</v>
          </cell>
          <cell r="E284">
            <v>168760.82</v>
          </cell>
          <cell r="F284">
            <v>172034.78</v>
          </cell>
          <cell r="G284" t="str">
            <v>OK</v>
          </cell>
          <cell r="H284" t="str">
            <v>OK</v>
          </cell>
          <cell r="I284">
            <v>1.0194000005451502</v>
          </cell>
          <cell r="J284">
            <v>211782.37</v>
          </cell>
          <cell r="K284" t="str">
            <v>OK</v>
          </cell>
        </row>
        <row r="285">
          <cell r="A285" t="str">
            <v>MAT0001</v>
          </cell>
          <cell r="B285" t="str">
            <v xml:space="preserve"> Bóia elétrica para controle de nível superior</v>
          </cell>
          <cell r="C285" t="str">
            <v>ud</v>
          </cell>
          <cell r="D285">
            <v>24.97</v>
          </cell>
          <cell r="E285">
            <v>26.77</v>
          </cell>
          <cell r="F285">
            <v>27.29</v>
          </cell>
          <cell r="G285" t="str">
            <v>OK</v>
          </cell>
          <cell r="H285" t="str">
            <v>OK</v>
          </cell>
          <cell r="I285">
            <v>1.092911493792551</v>
          </cell>
          <cell r="J285">
            <v>26.77</v>
          </cell>
          <cell r="K285" t="str">
            <v>OK</v>
          </cell>
        </row>
        <row r="286">
          <cell r="A286" t="str">
            <v>MAT0006</v>
          </cell>
          <cell r="B286" t="str">
            <v xml:space="preserve"> Joelho em PVC soldável; DE = 60 mm</v>
          </cell>
          <cell r="C286" t="str">
            <v>ud</v>
          </cell>
          <cell r="D286">
            <v>92.34</v>
          </cell>
          <cell r="E286">
            <v>75.930000000000007</v>
          </cell>
          <cell r="F286">
            <v>77.400000000000006</v>
          </cell>
          <cell r="G286" t="str">
            <v>OK</v>
          </cell>
          <cell r="H286" t="str">
            <v>OK</v>
          </cell>
          <cell r="I286">
            <v>0.83820662768031196</v>
          </cell>
          <cell r="J286">
            <v>75.930000000000007</v>
          </cell>
          <cell r="K286" t="str">
            <v>OK</v>
          </cell>
        </row>
        <row r="287">
          <cell r="A287" t="str">
            <v>MAT0008</v>
          </cell>
          <cell r="B287" t="str">
            <v xml:space="preserve"> Manômetro para gás cloro; escala até 20 kgf/cm2; conexão ao processo em monel; visor de d = 4" ; rosca macho de 1/2" NPT</v>
          </cell>
          <cell r="C287" t="str">
            <v>ud</v>
          </cell>
          <cell r="D287">
            <v>175.51</v>
          </cell>
          <cell r="E287">
            <v>175.51</v>
          </cell>
          <cell r="F287">
            <v>178.91</v>
          </cell>
          <cell r="G287" t="str">
            <v>OK</v>
          </cell>
          <cell r="H287" t="str">
            <v>OK</v>
          </cell>
          <cell r="I287">
            <v>1.0193721155489717</v>
          </cell>
          <cell r="J287">
            <v>220.25</v>
          </cell>
          <cell r="K287" t="str">
            <v>OK</v>
          </cell>
        </row>
        <row r="288">
          <cell r="A288" t="str">
            <v>MAT0009</v>
          </cell>
          <cell r="B288" t="str">
            <v xml:space="preserve"> Materiais em aço carbono sem costura, Schedulle 80 e d = 1": 20 tês,16 joelhos, 6 niples, 18 buchas de redução, 2 filtros de linha, 30 m de tubo</v>
          </cell>
          <cell r="C288" t="str">
            <v>ud</v>
          </cell>
          <cell r="D288">
            <v>4556.09</v>
          </cell>
          <cell r="E288">
            <v>4608.63</v>
          </cell>
          <cell r="F288">
            <v>4698.04</v>
          </cell>
          <cell r="G288" t="str">
            <v>OK</v>
          </cell>
          <cell r="H288" t="str">
            <v>OK</v>
          </cell>
          <cell r="I288">
            <v>1.0311561009549854</v>
          </cell>
          <cell r="J288">
            <v>4608.63</v>
          </cell>
          <cell r="K288" t="str">
            <v>OK</v>
          </cell>
        </row>
        <row r="289">
          <cell r="A289" t="str">
            <v>MAT0011</v>
          </cell>
          <cell r="B289" t="str">
            <v xml:space="preserve"> Registro esfera; em aço; DN = 2"</v>
          </cell>
          <cell r="C289" t="str">
            <v>ud</v>
          </cell>
          <cell r="D289">
            <v>281.27</v>
          </cell>
          <cell r="E289">
            <v>281.27</v>
          </cell>
          <cell r="F289">
            <v>286.73</v>
          </cell>
          <cell r="G289" t="str">
            <v>OK</v>
          </cell>
          <cell r="H289" t="str">
            <v>OK</v>
          </cell>
          <cell r="I289">
            <v>1.0194119529277919</v>
          </cell>
          <cell r="J289">
            <v>352.98</v>
          </cell>
          <cell r="K289" t="str">
            <v>OK</v>
          </cell>
        </row>
        <row r="290">
          <cell r="A290" t="str">
            <v>MAT0012</v>
          </cell>
          <cell r="B290" t="str">
            <v xml:space="preserve"> Registro esfera; em PVC; D = 60 mm</v>
          </cell>
          <cell r="C290" t="str">
            <v>ud</v>
          </cell>
          <cell r="D290">
            <v>47.98</v>
          </cell>
          <cell r="E290">
            <v>49.41</v>
          </cell>
          <cell r="F290">
            <v>50.37</v>
          </cell>
          <cell r="G290" t="str">
            <v>OK</v>
          </cell>
          <cell r="H290" t="str">
            <v>OK</v>
          </cell>
          <cell r="I290">
            <v>1.0498124218424343</v>
          </cell>
          <cell r="J290">
            <v>49.41</v>
          </cell>
          <cell r="K290" t="str">
            <v>OK</v>
          </cell>
        </row>
        <row r="291">
          <cell r="A291" t="str">
            <v>MAT0013</v>
          </cell>
          <cell r="B291" t="str">
            <v xml:space="preserve"> Registro esfera; em PVC; DN = 2"</v>
          </cell>
          <cell r="C291" t="str">
            <v>ud</v>
          </cell>
          <cell r="D291">
            <v>47.98</v>
          </cell>
          <cell r="E291">
            <v>42.47</v>
          </cell>
          <cell r="F291">
            <v>43.29</v>
          </cell>
          <cell r="G291" t="str">
            <v>OK</v>
          </cell>
          <cell r="H291" t="str">
            <v>OK</v>
          </cell>
          <cell r="I291">
            <v>0.90225093789078792</v>
          </cell>
          <cell r="J291">
            <v>42.47</v>
          </cell>
          <cell r="K291" t="str">
            <v>OK</v>
          </cell>
        </row>
        <row r="292">
          <cell r="A292" t="str">
            <v>MAT0014</v>
          </cell>
          <cell r="B292" t="str">
            <v xml:space="preserve"> Tê em PVC soldável; DE = 60 mm</v>
          </cell>
          <cell r="C292" t="str">
            <v>ud</v>
          </cell>
          <cell r="D292">
            <v>77.77</v>
          </cell>
          <cell r="E292">
            <v>63.95</v>
          </cell>
          <cell r="F292">
            <v>65.19</v>
          </cell>
          <cell r="G292" t="str">
            <v>OK</v>
          </cell>
          <cell r="H292" t="str">
            <v>OK</v>
          </cell>
          <cell r="I292">
            <v>0.83824096695383821</v>
          </cell>
          <cell r="J292">
            <v>63.95</v>
          </cell>
          <cell r="K292" t="str">
            <v>OK</v>
          </cell>
        </row>
        <row r="293">
          <cell r="A293" t="str">
            <v>MAT0015</v>
          </cell>
          <cell r="B293" t="str">
            <v xml:space="preserve"> Tubo em PVC soldável; DE = 60 mm; L = 6,0 m</v>
          </cell>
          <cell r="C293" t="str">
            <v>ud</v>
          </cell>
          <cell r="D293">
            <v>206.07</v>
          </cell>
          <cell r="E293">
            <v>169.44</v>
          </cell>
          <cell r="F293">
            <v>172.73</v>
          </cell>
          <cell r="G293" t="str">
            <v>OK</v>
          </cell>
          <cell r="H293" t="str">
            <v>OK</v>
          </cell>
          <cell r="I293">
            <v>0.83821031688261272</v>
          </cell>
          <cell r="J293">
            <v>169.44</v>
          </cell>
          <cell r="K293" t="str">
            <v>OK</v>
          </cell>
        </row>
        <row r="294">
          <cell r="A294" t="str">
            <v>MAT0016</v>
          </cell>
          <cell r="B294" t="str">
            <v xml:space="preserve"> União em PVC soldável; DE = 60 mm</v>
          </cell>
          <cell r="C294" t="str">
            <v>ud</v>
          </cell>
          <cell r="D294">
            <v>220.8</v>
          </cell>
          <cell r="E294">
            <v>181.55</v>
          </cell>
          <cell r="F294">
            <v>185.07</v>
          </cell>
          <cell r="G294" t="str">
            <v>OK</v>
          </cell>
          <cell r="H294" t="str">
            <v>OK</v>
          </cell>
          <cell r="I294">
            <v>0.83817934782608683</v>
          </cell>
          <cell r="J294">
            <v>181.55</v>
          </cell>
          <cell r="K294" t="str">
            <v>OK</v>
          </cell>
        </row>
        <row r="295">
          <cell r="A295" t="str">
            <v>MAT0017</v>
          </cell>
          <cell r="B295" t="str">
            <v xml:space="preserve"> Válvula NPT</v>
          </cell>
          <cell r="C295" t="str">
            <v>ud</v>
          </cell>
          <cell r="D295">
            <v>151.88</v>
          </cell>
          <cell r="E295">
            <v>151.88</v>
          </cell>
          <cell r="F295">
            <v>154.83000000000001</v>
          </cell>
          <cell r="G295" t="str">
            <v>OK</v>
          </cell>
          <cell r="H295" t="str">
            <v>OK</v>
          </cell>
          <cell r="I295">
            <v>1.0194232288648934</v>
          </cell>
          <cell r="J295">
            <v>190.61</v>
          </cell>
          <cell r="K295" t="str">
            <v>OK</v>
          </cell>
        </row>
        <row r="296">
          <cell r="A296" t="str">
            <v>MAT0018</v>
          </cell>
          <cell r="B296" t="str">
            <v xml:space="preserve"> Válvula redutora de pressão; capacidade de 100 kg/h de cloro; conexões R de DN = 1"; contrapressão ajustável entre 2 e 3 bar, com roscas para instalação em manifold de D = 1"</v>
          </cell>
          <cell r="C296" t="str">
            <v>ud</v>
          </cell>
          <cell r="D296">
            <v>7022.25</v>
          </cell>
          <cell r="E296">
            <v>6982.11</v>
          </cell>
          <cell r="F296">
            <v>7117.56</v>
          </cell>
          <cell r="G296" t="str">
            <v>OK</v>
          </cell>
          <cell r="H296" t="str">
            <v>OK</v>
          </cell>
          <cell r="I296">
            <v>1.0135725728933034</v>
          </cell>
          <cell r="J296">
            <v>6982.11</v>
          </cell>
          <cell r="K296" t="str">
            <v>OK</v>
          </cell>
        </row>
        <row r="297">
          <cell r="A297" t="str">
            <v>MAT0019</v>
          </cell>
          <cell r="B297" t="str">
            <v xml:space="preserve"> Válvula tipo esfera em aço inox; d = 1"</v>
          </cell>
          <cell r="C297" t="str">
            <v>ud</v>
          </cell>
          <cell r="D297">
            <v>244.19</v>
          </cell>
          <cell r="E297">
            <v>181.05</v>
          </cell>
          <cell r="F297">
            <v>184.56</v>
          </cell>
          <cell r="G297" t="str">
            <v>OK</v>
          </cell>
          <cell r="H297" t="str">
            <v>OK</v>
          </cell>
          <cell r="I297">
            <v>0.75580490601580741</v>
          </cell>
          <cell r="J297">
            <v>181.05</v>
          </cell>
          <cell r="K297" t="str">
            <v>OK</v>
          </cell>
        </row>
        <row r="298">
          <cell r="A298" t="str">
            <v>MAT0020</v>
          </cell>
          <cell r="B298" t="str">
            <v>ABF-10; DN = 300 mm</v>
          </cell>
          <cell r="C298" t="str">
            <v>ud</v>
          </cell>
          <cell r="D298">
            <v>6.75</v>
          </cell>
          <cell r="E298">
            <v>6.75</v>
          </cell>
          <cell r="F298">
            <v>6.88</v>
          </cell>
          <cell r="G298" t="str">
            <v>OK</v>
          </cell>
          <cell r="H298" t="str">
            <v>OK</v>
          </cell>
          <cell r="I298">
            <v>1.0192592592592593</v>
          </cell>
          <cell r="J298">
            <v>8.4700000000000006</v>
          </cell>
          <cell r="K298" t="str">
            <v>OK</v>
          </cell>
        </row>
        <row r="299">
          <cell r="A299" t="str">
            <v>MAT0021</v>
          </cell>
          <cell r="B299" t="str">
            <v>ABF16 DN=1000mm</v>
          </cell>
          <cell r="C299" t="str">
            <v>ud</v>
          </cell>
          <cell r="D299">
            <v>660.42</v>
          </cell>
          <cell r="E299">
            <v>649.25</v>
          </cell>
          <cell r="F299">
            <v>661.85</v>
          </cell>
          <cell r="G299" t="str">
            <v>OK</v>
          </cell>
          <cell r="H299" t="str">
            <v>OK</v>
          </cell>
          <cell r="I299">
            <v>1.0021652887556405</v>
          </cell>
          <cell r="J299">
            <v>649.25</v>
          </cell>
          <cell r="K299" t="str">
            <v>OK</v>
          </cell>
        </row>
        <row r="300">
          <cell r="A300" t="str">
            <v>MAT0022</v>
          </cell>
          <cell r="B300" t="str">
            <v>ABF16 DN=200mm</v>
          </cell>
          <cell r="C300" t="str">
            <v>ud</v>
          </cell>
          <cell r="D300">
            <v>3.6</v>
          </cell>
          <cell r="E300">
            <v>3.6</v>
          </cell>
          <cell r="F300">
            <v>3.67</v>
          </cell>
          <cell r="G300" t="str">
            <v>OK</v>
          </cell>
          <cell r="H300" t="str">
            <v>OK</v>
          </cell>
          <cell r="I300">
            <v>1.0194444444444444</v>
          </cell>
          <cell r="J300">
            <v>4.51</v>
          </cell>
          <cell r="K300" t="str">
            <v>OK</v>
          </cell>
        </row>
        <row r="301">
          <cell r="A301" t="str">
            <v>MAT0023</v>
          </cell>
          <cell r="B301" t="str">
            <v>ABF16 DN=400mm</v>
          </cell>
          <cell r="C301" t="str">
            <v>ud</v>
          </cell>
          <cell r="D301">
            <v>20.25</v>
          </cell>
          <cell r="E301">
            <v>20.25</v>
          </cell>
          <cell r="F301">
            <v>20.64</v>
          </cell>
          <cell r="G301" t="str">
            <v>OK</v>
          </cell>
          <cell r="H301" t="str">
            <v>OK</v>
          </cell>
          <cell r="I301">
            <v>1.0192592592592593</v>
          </cell>
          <cell r="J301">
            <v>25.42</v>
          </cell>
          <cell r="K301" t="str">
            <v>OK</v>
          </cell>
        </row>
        <row r="302">
          <cell r="A302" t="str">
            <v>MAT0024</v>
          </cell>
          <cell r="B302" t="str">
            <v>ABF16 DN=500mm</v>
          </cell>
          <cell r="C302" t="str">
            <v>ud</v>
          </cell>
          <cell r="D302">
            <v>32.619999999999997</v>
          </cell>
          <cell r="E302">
            <v>32.619999999999997</v>
          </cell>
          <cell r="F302">
            <v>33.25</v>
          </cell>
          <cell r="G302" t="str">
            <v>OK</v>
          </cell>
          <cell r="H302" t="str">
            <v>OK</v>
          </cell>
          <cell r="I302">
            <v>1.0193133047210301</v>
          </cell>
          <cell r="J302">
            <v>40.94</v>
          </cell>
          <cell r="K302" t="str">
            <v>OK</v>
          </cell>
        </row>
        <row r="303">
          <cell r="A303" t="str">
            <v>MAT0025</v>
          </cell>
          <cell r="B303" t="str">
            <v>ABF16 DN=600mm</v>
          </cell>
          <cell r="C303" t="str">
            <v>ud</v>
          </cell>
          <cell r="D303">
            <v>94.51</v>
          </cell>
          <cell r="E303">
            <v>94.51</v>
          </cell>
          <cell r="F303">
            <v>96.34</v>
          </cell>
          <cell r="G303" t="str">
            <v>OK</v>
          </cell>
          <cell r="H303" t="str">
            <v>OK</v>
          </cell>
          <cell r="I303">
            <v>1.0193630303671568</v>
          </cell>
          <cell r="J303">
            <v>118.6</v>
          </cell>
          <cell r="K303" t="str">
            <v>OK</v>
          </cell>
        </row>
        <row r="304">
          <cell r="A304" t="str">
            <v>MAT0026</v>
          </cell>
          <cell r="B304" t="str">
            <v>ABF16 DN=700mm</v>
          </cell>
          <cell r="C304" t="str">
            <v>ud</v>
          </cell>
          <cell r="D304">
            <v>208.14</v>
          </cell>
          <cell r="E304">
            <v>208.14</v>
          </cell>
          <cell r="F304">
            <v>212.18</v>
          </cell>
          <cell r="G304" t="str">
            <v>OK</v>
          </cell>
          <cell r="H304" t="str">
            <v>OK</v>
          </cell>
          <cell r="I304">
            <v>1.0194100124915924</v>
          </cell>
          <cell r="J304">
            <v>261.20999999999998</v>
          </cell>
          <cell r="K304" t="str">
            <v>OK</v>
          </cell>
        </row>
        <row r="305">
          <cell r="A305" t="str">
            <v>MAT0027</v>
          </cell>
          <cell r="B305" t="str">
            <v>ABF16 DN=800/750mm</v>
          </cell>
          <cell r="C305" t="str">
            <v>ud</v>
          </cell>
          <cell r="D305">
            <v>363.39</v>
          </cell>
          <cell r="E305">
            <v>363.39</v>
          </cell>
          <cell r="F305">
            <v>370.44</v>
          </cell>
          <cell r="G305" t="str">
            <v>OK</v>
          </cell>
          <cell r="H305" t="str">
            <v>OK</v>
          </cell>
          <cell r="I305">
            <v>1.0194006439362668</v>
          </cell>
          <cell r="J305">
            <v>456.03</v>
          </cell>
          <cell r="K305" t="str">
            <v>OK</v>
          </cell>
        </row>
        <row r="306">
          <cell r="A306" t="str">
            <v>MAT0028</v>
          </cell>
          <cell r="B306" t="str">
            <v>ABF16 DN=800mm</v>
          </cell>
          <cell r="C306" t="str">
            <v>ud</v>
          </cell>
          <cell r="D306">
            <v>363.39</v>
          </cell>
          <cell r="E306">
            <v>363.39</v>
          </cell>
          <cell r="F306">
            <v>370.44</v>
          </cell>
          <cell r="G306" t="str">
            <v>OK</v>
          </cell>
          <cell r="H306" t="str">
            <v>OK</v>
          </cell>
          <cell r="I306">
            <v>1.0194006439362668</v>
          </cell>
          <cell r="J306">
            <v>456.03</v>
          </cell>
          <cell r="K306" t="str">
            <v>OK</v>
          </cell>
        </row>
        <row r="307">
          <cell r="A307" t="str">
            <v>MAT0029</v>
          </cell>
          <cell r="B307" t="str">
            <v>ABFØ 150mm</v>
          </cell>
          <cell r="C307" t="str">
            <v>un</v>
          </cell>
          <cell r="D307">
            <v>2.13</v>
          </cell>
          <cell r="E307">
            <v>2.13</v>
          </cell>
          <cell r="F307">
            <v>2.17</v>
          </cell>
          <cell r="G307" t="str">
            <v>OK</v>
          </cell>
          <cell r="H307" t="str">
            <v>OK</v>
          </cell>
          <cell r="I307">
            <v>1.0187793427230047</v>
          </cell>
          <cell r="J307">
            <v>2.68</v>
          </cell>
          <cell r="K307" t="str">
            <v>OK</v>
          </cell>
        </row>
        <row r="308">
          <cell r="A308" t="str">
            <v>MAT0030</v>
          </cell>
          <cell r="B308" t="str">
            <v xml:space="preserve">ABRAÇADEIRA EM AÇO INOX PARA TUBOS DE     D = 300 mm COM  PARAFUSOS EM AÇO INOX </v>
          </cell>
          <cell r="C308" t="str">
            <v>ud</v>
          </cell>
          <cell r="D308">
            <v>148.51</v>
          </cell>
          <cell r="E308">
            <v>148.51</v>
          </cell>
          <cell r="F308">
            <v>151.38999999999999</v>
          </cell>
          <cell r="G308" t="str">
            <v>OK</v>
          </cell>
          <cell r="H308" t="str">
            <v>OK</v>
          </cell>
          <cell r="I308">
            <v>1.0193926334926942</v>
          </cell>
          <cell r="J308">
            <v>186.38</v>
          </cell>
          <cell r="K308" t="str">
            <v>OK</v>
          </cell>
        </row>
        <row r="309">
          <cell r="A309" t="str">
            <v>MAT0031</v>
          </cell>
          <cell r="B309" t="str">
            <v>Adaptador em PVC 4"x110 mm</v>
          </cell>
          <cell r="C309" t="str">
            <v>ud</v>
          </cell>
          <cell r="D309">
            <v>24.93</v>
          </cell>
          <cell r="E309">
            <v>25.07</v>
          </cell>
          <cell r="F309">
            <v>25.56</v>
          </cell>
          <cell r="G309" t="str">
            <v>OK</v>
          </cell>
          <cell r="H309" t="str">
            <v>OK</v>
          </cell>
          <cell r="I309">
            <v>1.0252707581227436</v>
          </cell>
          <cell r="J309">
            <v>25.07</v>
          </cell>
          <cell r="K309" t="str">
            <v>OK</v>
          </cell>
        </row>
        <row r="310">
          <cell r="A310" t="str">
            <v>MAT0032</v>
          </cell>
          <cell r="B310" t="str">
            <v>Agitador rápido para solução de sulfato de alumínio; de eixo vertical; acionado por motor elétrico; acoplado com hélice através d eluva rígida, com suporte de fixação, composto por: eixo em aço inox 304 (H = 2100 mm e d = 38 mm), hélice em aço inox 304 (d</v>
          </cell>
          <cell r="C310" t="str">
            <v>ud</v>
          </cell>
          <cell r="D310">
            <v>4376.54</v>
          </cell>
          <cell r="E310">
            <v>4379.6899999999996</v>
          </cell>
          <cell r="F310">
            <v>4464.66</v>
          </cell>
          <cell r="G310" t="str">
            <v>OK</v>
          </cell>
          <cell r="H310" t="str">
            <v>OK</v>
          </cell>
          <cell r="I310">
            <v>1.0201346268970466</v>
          </cell>
          <cell r="J310">
            <v>4379.6899999999996</v>
          </cell>
          <cell r="K310" t="str">
            <v>OK</v>
          </cell>
        </row>
        <row r="311">
          <cell r="A311" t="str">
            <v>MAT0033</v>
          </cell>
          <cell r="B311" t="str">
            <v>Analisador de cloro residual colorimétrico de linha; escala 0,00 à 5,00 mg/l; conforme especificação técnica em anexo</v>
          </cell>
          <cell r="C311" t="str">
            <v>ud</v>
          </cell>
          <cell r="D311">
            <v>16876.080000000002</v>
          </cell>
          <cell r="E311">
            <v>13876.73</v>
          </cell>
          <cell r="F311">
            <v>14145.94</v>
          </cell>
          <cell r="G311" t="str">
            <v>OK</v>
          </cell>
          <cell r="H311" t="str">
            <v>OK</v>
          </cell>
          <cell r="I311">
            <v>0.83822427957203327</v>
          </cell>
          <cell r="J311">
            <v>13876.73</v>
          </cell>
          <cell r="K311" t="str">
            <v>OK</v>
          </cell>
        </row>
        <row r="312">
          <cell r="A312" t="str">
            <v>MAT0034</v>
          </cell>
          <cell r="B312" t="str">
            <v>Aparelhos de ar condicionado com 21.000BTU's</v>
          </cell>
          <cell r="C312" t="str">
            <v>ud</v>
          </cell>
          <cell r="D312">
            <v>1123.54</v>
          </cell>
          <cell r="E312">
            <v>1123.54</v>
          </cell>
          <cell r="F312">
            <v>1393.18</v>
          </cell>
          <cell r="G312" t="str">
            <v>OK</v>
          </cell>
          <cell r="H312" t="str">
            <v>OK</v>
          </cell>
          <cell r="I312">
            <v>1.2399914555779057</v>
          </cell>
          <cell r="J312">
            <v>1409.96</v>
          </cell>
          <cell r="K312" t="str">
            <v>B</v>
          </cell>
        </row>
        <row r="313">
          <cell r="A313" t="str">
            <v>MAT0038</v>
          </cell>
          <cell r="B313" t="str">
            <v>AQUISIÇÃO DE  MOTORES DE 250CV DE ALTO RENDIMENTO, ALIMENTAÇÃO=TRIFÁSICA, FREQUÊNCIA=60HZ, GRAU DE PROTEÇÃO=IP55, VENTILAÇÃO=TFVE, CONJUGADOS=CATEGORIA N, REGIME=S1CONTÍNUO, FORMA CONSTRUTIVA=B3D, POLOS=06, CARCAÇA=355M/L, ISOLAÇÃO=F, TENSÕES=220/380/440/</v>
          </cell>
          <cell r="C313" t="str">
            <v>ud</v>
          </cell>
          <cell r="D313">
            <v>77230.58</v>
          </cell>
          <cell r="E313">
            <v>77230.58</v>
          </cell>
          <cell r="F313">
            <v>95765.91</v>
          </cell>
          <cell r="G313" t="str">
            <v>OK</v>
          </cell>
          <cell r="H313" t="str">
            <v>OK</v>
          </cell>
          <cell r="I313">
            <v>1.2399998808762021</v>
          </cell>
          <cell r="J313">
            <v>111600.95</v>
          </cell>
          <cell r="K313" t="str">
            <v>B</v>
          </cell>
        </row>
        <row r="314">
          <cell r="A314" t="str">
            <v>MAT0039</v>
          </cell>
          <cell r="B314" t="str">
            <v>AQUISIÇÃO DE UM CONJUNTO MOTOBOMBA CENTRIFUGA DE EIXO HORIZONTAL, MARCA WORTINGTON, TIPO 14LN17, SÉRIE BX65772,ROTOR EM AÇO INOX, RPM=1175, ACOPLADA AO MOTOR DE 250CV DE ALTO RENDIMENTO, ALIMENTAÇÃO=TRIFÁSICA, FREQUÊNCIA=60HZ, GRAU DE PROTEÇÃO=IP55, VENTI</v>
          </cell>
          <cell r="C314" t="str">
            <v>ud</v>
          </cell>
          <cell r="D314">
            <v>220334.12</v>
          </cell>
          <cell r="E314">
            <v>220334.12</v>
          </cell>
          <cell r="F314">
            <v>224608.6</v>
          </cell>
          <cell r="G314" t="str">
            <v>OK</v>
          </cell>
          <cell r="H314" t="str">
            <v>OK</v>
          </cell>
          <cell r="I314">
            <v>1.019399991249653</v>
          </cell>
          <cell r="J314">
            <v>318390.69</v>
          </cell>
          <cell r="K314" t="str">
            <v>OK</v>
          </cell>
        </row>
        <row r="315">
          <cell r="A315" t="str">
            <v>MAT0040</v>
          </cell>
          <cell r="B315" t="str">
            <v>ARRUELAS DE BORRACHA DN 150mm</v>
          </cell>
          <cell r="C315" t="str">
            <v>ud</v>
          </cell>
          <cell r="D315">
            <v>2.13</v>
          </cell>
          <cell r="E315">
            <v>1.9809000000000001</v>
          </cell>
          <cell r="F315">
            <v>2.02</v>
          </cell>
          <cell r="G315" t="str">
            <v>OK</v>
          </cell>
          <cell r="H315" t="str">
            <v>OK</v>
          </cell>
          <cell r="I315">
            <v>0.94835680751173712</v>
          </cell>
          <cell r="J315">
            <v>2.68</v>
          </cell>
          <cell r="K315" t="str">
            <v>OK</v>
          </cell>
        </row>
        <row r="316">
          <cell r="A316" t="str">
            <v>MAT0041</v>
          </cell>
          <cell r="B316" t="str">
            <v>ARRUELAS DE BORRACHA DN 400mm</v>
          </cell>
          <cell r="C316" t="str">
            <v>ud</v>
          </cell>
          <cell r="D316">
            <v>20.25</v>
          </cell>
          <cell r="E316">
            <v>18.8325</v>
          </cell>
          <cell r="F316">
            <v>19.2</v>
          </cell>
          <cell r="G316" t="str">
            <v>OK</v>
          </cell>
          <cell r="H316" t="str">
            <v>OK</v>
          </cell>
          <cell r="I316">
            <v>0.94814814814814807</v>
          </cell>
          <cell r="J316">
            <v>25.42</v>
          </cell>
          <cell r="K316" t="str">
            <v>OK</v>
          </cell>
        </row>
        <row r="317">
          <cell r="A317" t="str">
            <v>MAT0042</v>
          </cell>
          <cell r="B317" t="str">
            <v>ARRUELAS DE BORRACHA DN 500mm</v>
          </cell>
          <cell r="C317" t="str">
            <v>ud</v>
          </cell>
          <cell r="D317">
            <v>32.619999999999997</v>
          </cell>
          <cell r="E317">
            <v>30.336600000000001</v>
          </cell>
          <cell r="F317">
            <v>30.93</v>
          </cell>
          <cell r="G317" t="str">
            <v>OK</v>
          </cell>
          <cell r="H317" t="str">
            <v>OK</v>
          </cell>
          <cell r="I317">
            <v>0.948191293684856</v>
          </cell>
          <cell r="J317">
            <v>40.94</v>
          </cell>
          <cell r="K317" t="str">
            <v>OK</v>
          </cell>
        </row>
        <row r="318">
          <cell r="A318" t="str">
            <v>MAT0043</v>
          </cell>
          <cell r="B318" t="str">
            <v>Bomba centrífuga para transferência de solução de sulfato de alumínio com concentração de até 50%, corpo e rotor em aço inoxidável (AISI 316); com capacidade de 30 m3/h e pressão de serviço de 1,0 kgf/cm2. Acompanhada de chaves de partida para comando man</v>
          </cell>
          <cell r="C318" t="str">
            <v>ud</v>
          </cell>
          <cell r="D318">
            <v>13626.88</v>
          </cell>
          <cell r="E318">
            <v>11205</v>
          </cell>
          <cell r="F318">
            <v>11422.38</v>
          </cell>
          <cell r="G318" t="str">
            <v>OK</v>
          </cell>
          <cell r="H318" t="str">
            <v>OK</v>
          </cell>
          <cell r="I318">
            <v>0.83822415696036068</v>
          </cell>
          <cell r="J318">
            <v>11205</v>
          </cell>
          <cell r="K318" t="str">
            <v>OK</v>
          </cell>
        </row>
        <row r="319">
          <cell r="A319" t="str">
            <v>MAT0044</v>
          </cell>
          <cell r="B319" t="str">
            <v>Bomba dosadora (tipo pistão) para aplicação de solução de sulfato de alumínio de 10 à 20%, descarga máxima de 3.000 l/h e pressão de serviço 0,4 kgf/cm2. Acompanhada de inversor de freqüência acoplado e chaves de partida para comando manual. O equipamento</v>
          </cell>
          <cell r="C319" t="str">
            <v>ud</v>
          </cell>
          <cell r="D319">
            <v>32702.69</v>
          </cell>
          <cell r="E319">
            <v>27388.14</v>
          </cell>
          <cell r="F319">
            <v>27919.47</v>
          </cell>
          <cell r="G319" t="str">
            <v>OK</v>
          </cell>
          <cell r="H319" t="str">
            <v>OK</v>
          </cell>
          <cell r="I319">
            <v>0.85373619112066934</v>
          </cell>
          <cell r="J319">
            <v>27388.14</v>
          </cell>
          <cell r="K319" t="str">
            <v>OK</v>
          </cell>
        </row>
        <row r="320">
          <cell r="A320" t="str">
            <v>MAT0046</v>
          </cell>
          <cell r="B320" t="str">
            <v>CAP PVC ROSCÁVEL DN 75mm</v>
          </cell>
          <cell r="C320" t="str">
            <v>ud</v>
          </cell>
          <cell r="D320">
            <v>10.050000000000001</v>
          </cell>
          <cell r="E320">
            <v>10.77</v>
          </cell>
          <cell r="F320">
            <v>10.98</v>
          </cell>
          <cell r="G320" t="str">
            <v>OK</v>
          </cell>
          <cell r="H320" t="str">
            <v>OK</v>
          </cell>
          <cell r="I320">
            <v>1.0925373134328358</v>
          </cell>
          <cell r="J320">
            <v>10.77</v>
          </cell>
          <cell r="K320" t="str">
            <v>OK</v>
          </cell>
        </row>
        <row r="321">
          <cell r="A321" t="str">
            <v>MAT0047</v>
          </cell>
          <cell r="B321" t="str">
            <v xml:space="preserve">CHAVE " TÊ" 1 1/8" X 2,00m </v>
          </cell>
          <cell r="C321" t="str">
            <v>un</v>
          </cell>
          <cell r="D321">
            <v>388.15</v>
          </cell>
          <cell r="E321">
            <v>416.07</v>
          </cell>
          <cell r="F321">
            <v>424.14</v>
          </cell>
          <cell r="G321" t="str">
            <v>OK</v>
          </cell>
          <cell r="H321" t="str">
            <v>OK</v>
          </cell>
          <cell r="I321">
            <v>1.0927218858688652</v>
          </cell>
          <cell r="J321">
            <v>416.07</v>
          </cell>
          <cell r="K321" t="str">
            <v>OK</v>
          </cell>
        </row>
        <row r="322">
          <cell r="A322" t="str">
            <v>MAT0048</v>
          </cell>
          <cell r="B322" t="str">
            <v>CHUMBADOR D = 3/8" URxS 38 COM FORÇA; ARRUELA EM AÇO INOX TIPO TECNART OU SIMILAR</v>
          </cell>
          <cell r="C322" t="str">
            <v>ud</v>
          </cell>
          <cell r="D322">
            <v>3.6</v>
          </cell>
          <cell r="E322">
            <v>3.86</v>
          </cell>
          <cell r="F322">
            <v>3.93</v>
          </cell>
          <cell r="G322" t="str">
            <v>OK</v>
          </cell>
          <cell r="H322" t="str">
            <v>OK</v>
          </cell>
          <cell r="I322">
            <v>1.0916666666666668</v>
          </cell>
          <cell r="J322">
            <v>3.86</v>
          </cell>
          <cell r="K322" t="str">
            <v>OK</v>
          </cell>
        </row>
        <row r="323">
          <cell r="A323" t="str">
            <v>MAT0049</v>
          </cell>
          <cell r="B323" t="str">
            <v>Cilindros em aço para 900 kg de cloro, conforme especificação da Compesa</v>
          </cell>
          <cell r="C323" t="str">
            <v>ud</v>
          </cell>
          <cell r="D323">
            <v>16876.080000000002</v>
          </cell>
          <cell r="E323">
            <v>16876.080000000002</v>
          </cell>
          <cell r="F323">
            <v>20926.330000000002</v>
          </cell>
          <cell r="G323" t="str">
            <v>OK</v>
          </cell>
          <cell r="H323" t="str">
            <v>OK</v>
          </cell>
          <cell r="I323">
            <v>1.2399994548497044</v>
          </cell>
          <cell r="J323">
            <v>21178.240000000002</v>
          </cell>
          <cell r="K323" t="str">
            <v>B</v>
          </cell>
        </row>
        <row r="324">
          <cell r="A324" t="str">
            <v>MAT0050</v>
          </cell>
          <cell r="B324" t="str">
            <v>Clorador de gabinete com capacidade de 60 (sessenta) kg/h com ajuste automático/manual da dosagem. O equipamento deve estar em conformidade com as especificações técnicas em anexo</v>
          </cell>
          <cell r="C324" t="str">
            <v>ud</v>
          </cell>
          <cell r="D324">
            <v>142884.16</v>
          </cell>
          <cell r="E324">
            <v>132882.26880000002</v>
          </cell>
          <cell r="F324">
            <v>135460.18</v>
          </cell>
          <cell r="G324" t="str">
            <v>OK</v>
          </cell>
          <cell r="H324" t="str">
            <v>OK</v>
          </cell>
          <cell r="I324">
            <v>0.94804196630333259</v>
          </cell>
          <cell r="J324">
            <v>204807.61</v>
          </cell>
          <cell r="K324" t="str">
            <v>OK</v>
          </cell>
        </row>
        <row r="325">
          <cell r="A325" t="str">
            <v>MAT0051</v>
          </cell>
          <cell r="B325" t="str">
            <v>COMP. = 0,65 m; LARG. = 23,0 m</v>
          </cell>
          <cell r="C325" t="str">
            <v>ud</v>
          </cell>
          <cell r="D325">
            <v>1628.56</v>
          </cell>
          <cell r="E325">
            <v>1514.5608</v>
          </cell>
          <cell r="F325">
            <v>1543.94</v>
          </cell>
          <cell r="G325" t="str">
            <v>OK</v>
          </cell>
          <cell r="H325" t="str">
            <v>OK</v>
          </cell>
          <cell r="I325">
            <v>0.94803998624551755</v>
          </cell>
          <cell r="J325">
            <v>2043.73</v>
          </cell>
          <cell r="K325" t="str">
            <v>OK</v>
          </cell>
        </row>
        <row r="326">
          <cell r="A326" t="str">
            <v>MAT0052</v>
          </cell>
          <cell r="B326" t="str">
            <v>COMP. = 0,70 m; LARG. = 1,15 m</v>
          </cell>
          <cell r="C326" t="str">
            <v>ud</v>
          </cell>
          <cell r="D326">
            <v>114.38</v>
          </cell>
          <cell r="E326">
            <v>106.3734</v>
          </cell>
          <cell r="F326">
            <v>108.44</v>
          </cell>
          <cell r="G326" t="str">
            <v>OK</v>
          </cell>
          <cell r="H326" t="str">
            <v>OK</v>
          </cell>
          <cell r="I326">
            <v>0.94806784402867639</v>
          </cell>
          <cell r="J326">
            <v>142.18</v>
          </cell>
          <cell r="K326" t="str">
            <v>OK</v>
          </cell>
        </row>
        <row r="327">
          <cell r="A327" t="str">
            <v>MAT0053</v>
          </cell>
          <cell r="B327" t="str">
            <v>COMP. = 1,00 m; LARG. = 23,0 m</v>
          </cell>
          <cell r="C327" t="str">
            <v>ud</v>
          </cell>
          <cell r="D327">
            <v>2505.48</v>
          </cell>
          <cell r="E327">
            <v>2330.0964000000004</v>
          </cell>
          <cell r="F327">
            <v>2375.3000000000002</v>
          </cell>
          <cell r="G327" t="str">
            <v>OK</v>
          </cell>
          <cell r="H327" t="str">
            <v>OK</v>
          </cell>
          <cell r="I327">
            <v>0.94804189217235824</v>
          </cell>
          <cell r="J327">
            <v>3144.2</v>
          </cell>
          <cell r="K327" t="str">
            <v>OK</v>
          </cell>
        </row>
        <row r="328">
          <cell r="A328" t="str">
            <v>MAT0054</v>
          </cell>
          <cell r="B328" t="str">
            <v>COMP. = 1,20 m; LARG. = 1,15 m</v>
          </cell>
          <cell r="C328" t="str">
            <v>ud</v>
          </cell>
          <cell r="D328">
            <v>196.09</v>
          </cell>
          <cell r="E328">
            <v>182.36370000000002</v>
          </cell>
          <cell r="F328">
            <v>185.9</v>
          </cell>
          <cell r="G328" t="str">
            <v>OK</v>
          </cell>
          <cell r="H328" t="str">
            <v>OK</v>
          </cell>
          <cell r="I328">
            <v>0.94803406599010664</v>
          </cell>
          <cell r="J328">
            <v>243.74</v>
          </cell>
          <cell r="K328" t="str">
            <v>OK</v>
          </cell>
        </row>
        <row r="329">
          <cell r="A329" t="str">
            <v>MAT0055</v>
          </cell>
          <cell r="B329" t="str">
            <v>COMP. = 1,50 m; LARG. = 1,15 m</v>
          </cell>
          <cell r="C329" t="str">
            <v>ud</v>
          </cell>
          <cell r="D329">
            <v>245.11</v>
          </cell>
          <cell r="E329">
            <v>227.95230000000004</v>
          </cell>
          <cell r="F329">
            <v>232.37</v>
          </cell>
          <cell r="G329" t="str">
            <v>OK</v>
          </cell>
          <cell r="H329" t="str">
            <v>OK</v>
          </cell>
          <cell r="I329">
            <v>0.94802333646118064</v>
          </cell>
          <cell r="J329">
            <v>304.67</v>
          </cell>
          <cell r="K329" t="str">
            <v>OK</v>
          </cell>
        </row>
        <row r="330">
          <cell r="A330" t="str">
            <v>MAT0056</v>
          </cell>
          <cell r="B330" t="str">
            <v>COMP. = 2,00 m; LARG. = 23,0 m</v>
          </cell>
          <cell r="C330" t="str">
            <v>ud</v>
          </cell>
          <cell r="D330">
            <v>5010.96</v>
          </cell>
          <cell r="E330">
            <v>5010.96</v>
          </cell>
          <cell r="F330">
            <v>6213.59</v>
          </cell>
          <cell r="G330" t="str">
            <v>OK</v>
          </cell>
          <cell r="H330" t="str">
            <v>OK</v>
          </cell>
          <cell r="I330">
            <v>1.2399999201749765</v>
          </cell>
          <cell r="J330">
            <v>6288.38</v>
          </cell>
          <cell r="K330" t="str">
            <v>B</v>
          </cell>
        </row>
        <row r="331">
          <cell r="A331" t="str">
            <v>MAT0057</v>
          </cell>
          <cell r="B331" t="str">
            <v>COMP. = 2,20 m; LARG. = 1,15 m</v>
          </cell>
          <cell r="C331" t="str">
            <v>ud</v>
          </cell>
          <cell r="D331">
            <v>359.49</v>
          </cell>
          <cell r="E331">
            <v>334.32570000000004</v>
          </cell>
          <cell r="F331">
            <v>340.81</v>
          </cell>
          <cell r="G331" t="str">
            <v>OK</v>
          </cell>
          <cell r="H331" t="str">
            <v>OK</v>
          </cell>
          <cell r="I331">
            <v>0.9480374975659962</v>
          </cell>
          <cell r="J331">
            <v>517.37</v>
          </cell>
          <cell r="K331" t="str">
            <v>OK</v>
          </cell>
        </row>
        <row r="332">
          <cell r="A332" t="str">
            <v>MAT0058</v>
          </cell>
          <cell r="B332" t="str">
            <v>COMP. = 2,70 m; LARG. = 16,1 m</v>
          </cell>
          <cell r="C332" t="str">
            <v>ud</v>
          </cell>
          <cell r="D332">
            <v>4735.3599999999997</v>
          </cell>
          <cell r="E332">
            <v>4735.3599999999997</v>
          </cell>
          <cell r="F332">
            <v>5871.84</v>
          </cell>
          <cell r="G332" t="str">
            <v>OK</v>
          </cell>
          <cell r="H332" t="str">
            <v>OK</v>
          </cell>
          <cell r="I332">
            <v>1.239998648466009</v>
          </cell>
          <cell r="J332">
            <v>5942.53</v>
          </cell>
          <cell r="K332" t="str">
            <v>B</v>
          </cell>
        </row>
        <row r="333">
          <cell r="A333" t="str">
            <v>MAT0059</v>
          </cell>
          <cell r="B333" t="str">
            <v>COMPORTA EM FERRO FUNDIDO CQUAW 1500mm</v>
          </cell>
          <cell r="C333" t="str">
            <v>un</v>
          </cell>
          <cell r="D333">
            <v>102323.06</v>
          </cell>
          <cell r="E333">
            <v>95160.445800000001</v>
          </cell>
          <cell r="F333">
            <v>97006.56</v>
          </cell>
          <cell r="G333" t="str">
            <v>OK</v>
          </cell>
          <cell r="H333" t="str">
            <v>OK</v>
          </cell>
          <cell r="I333">
            <v>0.94804201516256448</v>
          </cell>
          <cell r="J333">
            <v>147860.47</v>
          </cell>
          <cell r="K333" t="str">
            <v>OK</v>
          </cell>
        </row>
        <row r="334">
          <cell r="A334" t="str">
            <v>MAT0060</v>
          </cell>
          <cell r="B334" t="str">
            <v>COMPORTAS EM PRFV COM AS DIMENSÕES: (1.295X1.400X10) mm; INCLUSIVE GUIA E GUARDA-COMPORTA</v>
          </cell>
          <cell r="C334" t="str">
            <v>ud</v>
          </cell>
          <cell r="D334">
            <v>663.63</v>
          </cell>
          <cell r="E334">
            <v>617.17590000000007</v>
          </cell>
          <cell r="F334">
            <v>629.15</v>
          </cell>
          <cell r="G334" t="str">
            <v>OK</v>
          </cell>
          <cell r="H334" t="str">
            <v>OK</v>
          </cell>
          <cell r="I334">
            <v>0.94804333740186542</v>
          </cell>
          <cell r="J334">
            <v>830.24</v>
          </cell>
          <cell r="K334" t="str">
            <v>OK</v>
          </cell>
        </row>
        <row r="335">
          <cell r="A335" t="str">
            <v>MAT0061</v>
          </cell>
          <cell r="B335" t="str">
            <v>Controlador de coagulação conforme especificação técnica em anexo</v>
          </cell>
          <cell r="C335" t="str">
            <v>ud</v>
          </cell>
          <cell r="D335">
            <v>44440.35</v>
          </cell>
          <cell r="E335">
            <v>45802.66</v>
          </cell>
          <cell r="F335">
            <v>46691.23</v>
          </cell>
          <cell r="G335" t="str">
            <v>OK</v>
          </cell>
          <cell r="H335" t="str">
            <v>OK</v>
          </cell>
          <cell r="I335">
            <v>1.0506494660820629</v>
          </cell>
          <cell r="J335">
            <v>45802.66</v>
          </cell>
          <cell r="K335" t="str">
            <v>OK</v>
          </cell>
        </row>
        <row r="336">
          <cell r="A336" t="str">
            <v>MAT0062</v>
          </cell>
          <cell r="B336" t="str">
            <v>CRUZETA DE AÇO SOLDÁVEL DN 500x400x150mm</v>
          </cell>
          <cell r="C336" t="str">
            <v>ud</v>
          </cell>
          <cell r="D336">
            <v>2422.5100000000002</v>
          </cell>
          <cell r="E336">
            <v>2252.9343000000003</v>
          </cell>
          <cell r="F336">
            <v>2296.64</v>
          </cell>
          <cell r="G336" t="str">
            <v>OK</v>
          </cell>
          <cell r="H336" t="str">
            <v>OK</v>
          </cell>
          <cell r="I336">
            <v>0.94804149415275873</v>
          </cell>
          <cell r="J336">
            <v>3040.07</v>
          </cell>
          <cell r="K336" t="str">
            <v>OK</v>
          </cell>
        </row>
        <row r="337">
          <cell r="A337" t="str">
            <v>MAT0063</v>
          </cell>
          <cell r="B337" t="str">
            <v>Curva 45º em aço soldavel Ø 1000mm</v>
          </cell>
          <cell r="C337" t="str">
            <v xml:space="preserve">un </v>
          </cell>
          <cell r="D337">
            <v>3198.58</v>
          </cell>
          <cell r="E337">
            <v>3372.23</v>
          </cell>
          <cell r="F337">
            <v>3437.65</v>
          </cell>
          <cell r="G337" t="str">
            <v>OK</v>
          </cell>
          <cell r="H337" t="str">
            <v>OK</v>
          </cell>
          <cell r="I337">
            <v>1.0747425420030139</v>
          </cell>
          <cell r="J337">
            <v>3372.23</v>
          </cell>
          <cell r="K337" t="str">
            <v>OK</v>
          </cell>
        </row>
        <row r="338">
          <cell r="A338" t="str">
            <v>MAT0064</v>
          </cell>
          <cell r="B338" t="str">
            <v>Curva 90º em aço soldavel Ø 800mm</v>
          </cell>
          <cell r="C338" t="str">
            <v xml:space="preserve">un </v>
          </cell>
          <cell r="D338">
            <v>2506.66</v>
          </cell>
          <cell r="E338">
            <v>2258.12</v>
          </cell>
          <cell r="F338">
            <v>2301.9299999999998</v>
          </cell>
          <cell r="G338" t="str">
            <v>OK</v>
          </cell>
          <cell r="H338" t="str">
            <v>OK</v>
          </cell>
          <cell r="I338">
            <v>0.91832558065314007</v>
          </cell>
          <cell r="J338">
            <v>2258.12</v>
          </cell>
          <cell r="K338" t="str">
            <v>OK</v>
          </cell>
        </row>
        <row r="339">
          <cell r="A339" t="str">
            <v>MAT0065</v>
          </cell>
          <cell r="B339" t="str">
            <v xml:space="preserve">CURVA 90º FERRO FUNDIDO Ø 200mm </v>
          </cell>
          <cell r="C339" t="str">
            <v>un</v>
          </cell>
          <cell r="D339">
            <v>414.02</v>
          </cell>
          <cell r="E339">
            <v>394.61</v>
          </cell>
          <cell r="F339">
            <v>402.27</v>
          </cell>
          <cell r="G339" t="str">
            <v>OK</v>
          </cell>
          <cell r="H339" t="str">
            <v>OK</v>
          </cell>
          <cell r="I339">
            <v>0.97161972851553069</v>
          </cell>
          <cell r="J339">
            <v>394.61</v>
          </cell>
          <cell r="K339" t="str">
            <v>OK</v>
          </cell>
        </row>
        <row r="340">
          <cell r="A340" t="str">
            <v>MAT0066</v>
          </cell>
          <cell r="B340" t="str">
            <v>CURVA C11JM16 DN=1000MM</v>
          </cell>
          <cell r="C340" t="str">
            <v>ud</v>
          </cell>
          <cell r="D340">
            <v>8291.7900000000009</v>
          </cell>
          <cell r="E340">
            <v>7620.52</v>
          </cell>
          <cell r="F340">
            <v>7768.36</v>
          </cell>
          <cell r="G340" t="str">
            <v>OK</v>
          </cell>
          <cell r="H340" t="str">
            <v>OK</v>
          </cell>
          <cell r="I340">
            <v>0.93687370278311422</v>
          </cell>
          <cell r="J340">
            <v>7620.52</v>
          </cell>
          <cell r="K340" t="str">
            <v>OK</v>
          </cell>
        </row>
        <row r="341">
          <cell r="A341" t="str">
            <v>MAT0067</v>
          </cell>
          <cell r="B341" t="str">
            <v>CURVA C11JM16 DN=600MM</v>
          </cell>
          <cell r="C341" t="str">
            <v>ud</v>
          </cell>
          <cell r="D341">
            <v>2126.39</v>
          </cell>
          <cell r="E341">
            <v>1977.5427</v>
          </cell>
          <cell r="F341">
            <v>2015.91</v>
          </cell>
          <cell r="G341" t="str">
            <v>OK</v>
          </cell>
          <cell r="H341" t="str">
            <v>OK</v>
          </cell>
          <cell r="I341">
            <v>0.94804339749528554</v>
          </cell>
          <cell r="J341">
            <v>2668.46</v>
          </cell>
          <cell r="K341" t="str">
            <v>OK</v>
          </cell>
        </row>
        <row r="342">
          <cell r="A342" t="str">
            <v>MAT0068</v>
          </cell>
          <cell r="B342" t="str">
            <v>CURVA C11JM16 DN=700MM</v>
          </cell>
          <cell r="C342" t="str">
            <v>ud</v>
          </cell>
          <cell r="D342">
            <v>4568.92</v>
          </cell>
          <cell r="E342">
            <v>4249.0956000000006</v>
          </cell>
          <cell r="F342">
            <v>4331.53</v>
          </cell>
          <cell r="G342" t="str">
            <v>OK</v>
          </cell>
          <cell r="H342" t="str">
            <v>OK</v>
          </cell>
          <cell r="I342">
            <v>0.94804242578114728</v>
          </cell>
          <cell r="J342">
            <v>5733.65</v>
          </cell>
          <cell r="K342" t="str">
            <v>OK</v>
          </cell>
        </row>
        <row r="343">
          <cell r="A343" t="str">
            <v>MAT0069</v>
          </cell>
          <cell r="B343" t="str">
            <v>CURVA C22JM16 DN=1000MM</v>
          </cell>
          <cell r="C343" t="str">
            <v>ud</v>
          </cell>
          <cell r="D343">
            <v>9806.1200000000008</v>
          </cell>
          <cell r="E343">
            <v>9416.14</v>
          </cell>
          <cell r="F343">
            <v>9598.81</v>
          </cell>
          <cell r="G343" t="str">
            <v>OK</v>
          </cell>
          <cell r="H343" t="str">
            <v>OK</v>
          </cell>
          <cell r="I343">
            <v>0.97885912063078961</v>
          </cell>
          <cell r="J343">
            <v>9416.14</v>
          </cell>
          <cell r="K343" t="str">
            <v>OK</v>
          </cell>
        </row>
        <row r="344">
          <cell r="A344" t="str">
            <v>MAT0070</v>
          </cell>
          <cell r="B344" t="str">
            <v>CURVA C22JM16 DN=600MM</v>
          </cell>
          <cell r="C344" t="str">
            <v>ud</v>
          </cell>
          <cell r="D344">
            <v>2430.16</v>
          </cell>
          <cell r="E344">
            <v>2260.0488</v>
          </cell>
          <cell r="F344">
            <v>2303.89</v>
          </cell>
          <cell r="G344" t="str">
            <v>OK</v>
          </cell>
          <cell r="H344" t="str">
            <v>OK</v>
          </cell>
          <cell r="I344">
            <v>0.94804045824143268</v>
          </cell>
          <cell r="J344">
            <v>3049.67</v>
          </cell>
          <cell r="K344" t="str">
            <v>OK</v>
          </cell>
        </row>
        <row r="345">
          <cell r="A345" t="str">
            <v>MAT0071</v>
          </cell>
          <cell r="B345" t="str">
            <v>CURVA C22JM16 DN=700MM</v>
          </cell>
          <cell r="C345" t="str">
            <v>ud</v>
          </cell>
          <cell r="D345">
            <v>4185.2700000000004</v>
          </cell>
          <cell r="E345">
            <v>3892.3011000000006</v>
          </cell>
          <cell r="F345">
            <v>3967.81</v>
          </cell>
          <cell r="G345" t="str">
            <v>OK</v>
          </cell>
          <cell r="H345" t="str">
            <v>OK</v>
          </cell>
          <cell r="I345">
            <v>0.94804158393604221</v>
          </cell>
          <cell r="J345">
            <v>5252.2</v>
          </cell>
          <cell r="K345" t="str">
            <v>OK</v>
          </cell>
        </row>
        <row r="346">
          <cell r="A346" t="str">
            <v>MAT0072</v>
          </cell>
          <cell r="B346" t="str">
            <v>CURVA C22JM16 DN=800MM</v>
          </cell>
          <cell r="C346" t="str">
            <v>ud</v>
          </cell>
          <cell r="D346">
            <v>4185.2700000000004</v>
          </cell>
          <cell r="E346">
            <v>3892.3011000000006</v>
          </cell>
          <cell r="F346">
            <v>3967.81</v>
          </cell>
          <cell r="G346" t="str">
            <v>OK</v>
          </cell>
          <cell r="H346" t="str">
            <v>OK</v>
          </cell>
          <cell r="I346">
            <v>0.94804158393604221</v>
          </cell>
          <cell r="J346">
            <v>5252.2</v>
          </cell>
          <cell r="K346" t="str">
            <v>OK</v>
          </cell>
        </row>
        <row r="347">
          <cell r="A347" t="str">
            <v>MAT0073</v>
          </cell>
          <cell r="B347" t="str">
            <v>CURVA C45FF16 DN=600MM</v>
          </cell>
          <cell r="C347" t="str">
            <v>ud</v>
          </cell>
          <cell r="D347">
            <v>4201.0200000000004</v>
          </cell>
          <cell r="E347">
            <v>3924.97</v>
          </cell>
          <cell r="F347">
            <v>4001.11</v>
          </cell>
          <cell r="G347" t="str">
            <v>OK</v>
          </cell>
          <cell r="H347" t="str">
            <v>OK</v>
          </cell>
          <cell r="I347">
            <v>0.952413937567543</v>
          </cell>
          <cell r="J347">
            <v>3924.97</v>
          </cell>
          <cell r="K347" t="str">
            <v>OK</v>
          </cell>
        </row>
        <row r="348">
          <cell r="A348" t="str">
            <v>MAT0074</v>
          </cell>
          <cell r="B348" t="str">
            <v>CURVA C45FF16 DN=800MM</v>
          </cell>
          <cell r="C348" t="str">
            <v>ud</v>
          </cell>
          <cell r="D348">
            <v>9347.1</v>
          </cell>
          <cell r="E348">
            <v>7685.85</v>
          </cell>
          <cell r="F348">
            <v>7834.96</v>
          </cell>
          <cell r="G348" t="str">
            <v>OK</v>
          </cell>
          <cell r="H348" t="str">
            <v>OK</v>
          </cell>
          <cell r="I348">
            <v>0.83822362016026353</v>
          </cell>
          <cell r="J348">
            <v>7685.85</v>
          </cell>
          <cell r="K348" t="str">
            <v>OK</v>
          </cell>
        </row>
        <row r="349">
          <cell r="A349" t="str">
            <v>MAT0075</v>
          </cell>
          <cell r="B349" t="str">
            <v>CURVA C45JM16 DN=1000MM</v>
          </cell>
          <cell r="C349" t="str">
            <v>ud</v>
          </cell>
          <cell r="D349">
            <v>11844.76</v>
          </cell>
          <cell r="E349">
            <v>11520.06</v>
          </cell>
          <cell r="F349">
            <v>11743.55</v>
          </cell>
          <cell r="G349" t="str">
            <v>OK</v>
          </cell>
          <cell r="H349" t="str">
            <v>OK</v>
          </cell>
          <cell r="I349">
            <v>0.99145529331113502</v>
          </cell>
          <cell r="J349">
            <v>11520.06</v>
          </cell>
          <cell r="K349" t="str">
            <v>OK</v>
          </cell>
        </row>
        <row r="350">
          <cell r="A350" t="str">
            <v>MAT0076</v>
          </cell>
          <cell r="B350" t="str">
            <v>CURVA C45JM16 DN=600MM</v>
          </cell>
          <cell r="C350" t="str">
            <v>ud</v>
          </cell>
          <cell r="D350">
            <v>2492.0300000000002</v>
          </cell>
          <cell r="E350">
            <v>2317.5879000000004</v>
          </cell>
          <cell r="F350">
            <v>2362.5500000000002</v>
          </cell>
          <cell r="G350" t="str">
            <v>OK</v>
          </cell>
          <cell r="H350" t="str">
            <v>OK</v>
          </cell>
          <cell r="I350">
            <v>0.94804235904062151</v>
          </cell>
          <cell r="J350">
            <v>3127.31</v>
          </cell>
          <cell r="K350" t="str">
            <v>OK</v>
          </cell>
        </row>
        <row r="351">
          <cell r="A351" t="str">
            <v>MAT0077</v>
          </cell>
          <cell r="B351" t="str">
            <v>CURVA C45JM16 DN=700MM</v>
          </cell>
          <cell r="C351" t="str">
            <v>ud</v>
          </cell>
          <cell r="D351">
            <v>4579.05</v>
          </cell>
          <cell r="E351">
            <v>4258.5165000000006</v>
          </cell>
          <cell r="F351">
            <v>4341.13</v>
          </cell>
          <cell r="G351" t="str">
            <v>OK</v>
          </cell>
          <cell r="H351" t="str">
            <v>OK</v>
          </cell>
          <cell r="I351">
            <v>0.94804162435439665</v>
          </cell>
          <cell r="J351">
            <v>5746.37</v>
          </cell>
          <cell r="K351" t="str">
            <v>OK</v>
          </cell>
        </row>
        <row r="352">
          <cell r="A352" t="str">
            <v>MAT0078</v>
          </cell>
          <cell r="B352" t="str">
            <v>CURVA C45JM16 DN=800MM</v>
          </cell>
          <cell r="C352" t="str">
            <v>ud</v>
          </cell>
          <cell r="D352">
            <v>6727.93</v>
          </cell>
          <cell r="E352">
            <v>6256.9749000000002</v>
          </cell>
          <cell r="F352">
            <v>6378.36</v>
          </cell>
          <cell r="G352" t="str">
            <v>OK</v>
          </cell>
          <cell r="H352" t="str">
            <v>OK</v>
          </cell>
          <cell r="I352">
            <v>0.94804196833201293</v>
          </cell>
          <cell r="J352">
            <v>8443.0499999999993</v>
          </cell>
          <cell r="K352" t="str">
            <v>OK</v>
          </cell>
        </row>
        <row r="353">
          <cell r="A353" t="str">
            <v>MAT0079</v>
          </cell>
          <cell r="B353" t="str">
            <v>CURVA C90FF16 DN=1000MM</v>
          </cell>
          <cell r="C353" t="str">
            <v>ud</v>
          </cell>
          <cell r="D353">
            <v>11932.52</v>
          </cell>
          <cell r="E353">
            <v>10132.92</v>
          </cell>
          <cell r="F353">
            <v>10329.5</v>
          </cell>
          <cell r="G353" t="str">
            <v>OK</v>
          </cell>
          <cell r="H353" t="str">
            <v>OK</v>
          </cell>
          <cell r="I353">
            <v>0.86565955891965818</v>
          </cell>
          <cell r="J353">
            <v>10132.92</v>
          </cell>
          <cell r="K353" t="str">
            <v>OK</v>
          </cell>
        </row>
        <row r="354">
          <cell r="A354" t="str">
            <v>MAT0080</v>
          </cell>
          <cell r="B354" t="str">
            <v>CURVA C90FF16 DN=800MM</v>
          </cell>
          <cell r="C354" t="str">
            <v>ud</v>
          </cell>
          <cell r="D354">
            <v>6892.19</v>
          </cell>
          <cell r="E354">
            <v>6379.24</v>
          </cell>
          <cell r="F354">
            <v>6503</v>
          </cell>
          <cell r="G354" t="str">
            <v>OK</v>
          </cell>
          <cell r="H354" t="str">
            <v>OK</v>
          </cell>
          <cell r="I354">
            <v>0.94353173664684231</v>
          </cell>
          <cell r="J354">
            <v>6379.24</v>
          </cell>
          <cell r="K354" t="str">
            <v>OK</v>
          </cell>
        </row>
        <row r="355">
          <cell r="A355" t="str">
            <v>MAT0081</v>
          </cell>
          <cell r="B355" t="str">
            <v>CURVA C90JM16 DN=600MM</v>
          </cell>
          <cell r="C355" t="str">
            <v>ud</v>
          </cell>
          <cell r="D355">
            <v>4072.76</v>
          </cell>
          <cell r="E355">
            <v>3787.6668000000004</v>
          </cell>
          <cell r="F355">
            <v>3861.15</v>
          </cell>
          <cell r="G355" t="str">
            <v>OK</v>
          </cell>
          <cell r="H355" t="str">
            <v>OK</v>
          </cell>
          <cell r="I355">
            <v>0.9480426050147811</v>
          </cell>
          <cell r="J355">
            <v>5111.0200000000004</v>
          </cell>
          <cell r="K355" t="str">
            <v>OK</v>
          </cell>
        </row>
        <row r="356">
          <cell r="A356" t="str">
            <v>MAT0082</v>
          </cell>
          <cell r="B356" t="str">
            <v>CURVA DE 90 EM AÇO SOLDÁVEL DN 150mm</v>
          </cell>
          <cell r="C356" t="str">
            <v>ud</v>
          </cell>
          <cell r="D356">
            <v>112.51</v>
          </cell>
          <cell r="E356">
            <v>104.63430000000001</v>
          </cell>
          <cell r="F356">
            <v>106.66</v>
          </cell>
          <cell r="G356" t="str">
            <v>OK</v>
          </cell>
          <cell r="H356" t="str">
            <v>OK</v>
          </cell>
          <cell r="I356">
            <v>0.94800462181139444</v>
          </cell>
          <cell r="J356">
            <v>634.63</v>
          </cell>
          <cell r="K356" t="str">
            <v>OK</v>
          </cell>
        </row>
        <row r="357">
          <cell r="A357" t="str">
            <v>MAT0083</v>
          </cell>
          <cell r="B357" t="str">
            <v>CURVA DE 90 EM AÇO SOLDÁVEL DN 400mm</v>
          </cell>
          <cell r="C357" t="str">
            <v>ud</v>
          </cell>
          <cell r="D357">
            <v>592.91</v>
          </cell>
          <cell r="E357">
            <v>551.40629999999999</v>
          </cell>
          <cell r="F357">
            <v>562.1</v>
          </cell>
          <cell r="G357" t="str">
            <v>OK</v>
          </cell>
          <cell r="H357" t="str">
            <v>OK</v>
          </cell>
          <cell r="I357">
            <v>0.94803595823986786</v>
          </cell>
          <cell r="J357">
            <v>2248.0300000000002</v>
          </cell>
          <cell r="K357" t="str">
            <v>OK</v>
          </cell>
        </row>
        <row r="358">
          <cell r="A358" t="str">
            <v>MAT0084</v>
          </cell>
          <cell r="B358" t="str">
            <v>CURVA DE 90 EM AÇO SOLDÁVEL DN 600mm</v>
          </cell>
          <cell r="C358" t="str">
            <v>ud</v>
          </cell>
          <cell r="D358">
            <v>1631.36</v>
          </cell>
          <cell r="E358">
            <v>1728.46</v>
          </cell>
          <cell r="F358">
            <v>1761.99</v>
          </cell>
          <cell r="G358" t="str">
            <v>OK</v>
          </cell>
          <cell r="H358" t="str">
            <v>OK</v>
          </cell>
          <cell r="I358">
            <v>1.080074293840722</v>
          </cell>
          <cell r="J358">
            <v>1728.46</v>
          </cell>
          <cell r="K358" t="str">
            <v>OK</v>
          </cell>
        </row>
        <row r="359">
          <cell r="A359" t="str">
            <v>MAT0086</v>
          </cell>
          <cell r="B359" t="str">
            <v>Dispositivo em aço inoxidável (AISI 304) para deslocamento do ponto de aplicação do coagulante, conforme projeto</v>
          </cell>
          <cell r="C359" t="str">
            <v>ud</v>
          </cell>
          <cell r="D359">
            <v>3118.7</v>
          </cell>
          <cell r="E359">
            <v>3518.98</v>
          </cell>
          <cell r="F359">
            <v>3587.25</v>
          </cell>
          <cell r="G359" t="str">
            <v>OK</v>
          </cell>
          <cell r="H359" t="str">
            <v>OK</v>
          </cell>
          <cell r="I359">
            <v>1.150238881585276</v>
          </cell>
          <cell r="J359">
            <v>3518.98</v>
          </cell>
          <cell r="K359" t="str">
            <v>OK</v>
          </cell>
        </row>
        <row r="360">
          <cell r="A360" t="str">
            <v>MAT0087</v>
          </cell>
          <cell r="B360" t="str">
            <v>E PF EM AÇO SOLDAVEL COM ABA DE VEDAÇÃOØ 1000mm x 0,60m.</v>
          </cell>
          <cell r="C360" t="str">
            <v>m</v>
          </cell>
          <cell r="D360">
            <v>3735.24</v>
          </cell>
          <cell r="E360">
            <v>3205.48</v>
          </cell>
          <cell r="F360">
            <v>3267.67</v>
          </cell>
          <cell r="G360" t="str">
            <v>OK</v>
          </cell>
          <cell r="H360" t="str">
            <v>OK</v>
          </cell>
          <cell r="I360">
            <v>0.87482196592454575</v>
          </cell>
          <cell r="J360">
            <v>3205.48</v>
          </cell>
          <cell r="K360" t="str">
            <v>OK</v>
          </cell>
        </row>
        <row r="361">
          <cell r="A361" t="str">
            <v>MAT0088</v>
          </cell>
          <cell r="B361" t="str">
            <v xml:space="preserve">EPF DE AÇO SOLDÁVEL DN 400mm </v>
          </cell>
          <cell r="C361" t="str">
            <v>ud</v>
          </cell>
          <cell r="D361">
            <v>1022.91</v>
          </cell>
          <cell r="E361">
            <v>841.11</v>
          </cell>
          <cell r="F361">
            <v>857.43</v>
          </cell>
          <cell r="G361" t="str">
            <v>OK</v>
          </cell>
          <cell r="H361" t="str">
            <v>OK</v>
          </cell>
          <cell r="I361">
            <v>0.83822623691233833</v>
          </cell>
          <cell r="J361">
            <v>841.11</v>
          </cell>
          <cell r="K361" t="str">
            <v>OK</v>
          </cell>
        </row>
        <row r="362">
          <cell r="A362" t="str">
            <v>MAT0089</v>
          </cell>
          <cell r="B362" t="str">
            <v xml:space="preserve">EPF COM ABA DE VEDAÇÃO DE AÇO SOLDÁVEL DN 150mm </v>
          </cell>
          <cell r="C362" t="str">
            <v>ud</v>
          </cell>
          <cell r="D362">
            <v>447.78</v>
          </cell>
          <cell r="E362">
            <v>368.2</v>
          </cell>
          <cell r="F362">
            <v>375.34</v>
          </cell>
          <cell r="G362" t="str">
            <v>OK</v>
          </cell>
          <cell r="H362" t="str">
            <v>OK</v>
          </cell>
          <cell r="I362">
            <v>0.8382241279199607</v>
          </cell>
          <cell r="J362">
            <v>368.2</v>
          </cell>
          <cell r="K362" t="str">
            <v>OK</v>
          </cell>
        </row>
        <row r="363">
          <cell r="A363" t="str">
            <v>MAT0090</v>
          </cell>
          <cell r="B363" t="str">
            <v xml:space="preserve">EPF COM ABA DE VEDAÇÃO DE AÇO SOLDÁVEL DN 400mm </v>
          </cell>
          <cell r="C363" t="str">
            <v>ud</v>
          </cell>
          <cell r="D363">
            <v>1218.45</v>
          </cell>
          <cell r="E363">
            <v>1001.9</v>
          </cell>
          <cell r="F363">
            <v>1021.34</v>
          </cell>
          <cell r="G363" t="str">
            <v>OK</v>
          </cell>
          <cell r="H363" t="str">
            <v>OK</v>
          </cell>
          <cell r="I363">
            <v>0.83822889736960893</v>
          </cell>
          <cell r="J363">
            <v>1001.9</v>
          </cell>
          <cell r="K363" t="str">
            <v>OK</v>
          </cell>
        </row>
        <row r="364">
          <cell r="A364" t="str">
            <v>MAT0091</v>
          </cell>
          <cell r="B364" t="str">
            <v xml:space="preserve">EPF COM ABA DE VEDAÇÃO DE AÇO SOLDÁVEL DN 500mm </v>
          </cell>
          <cell r="C364" t="str">
            <v>ud</v>
          </cell>
          <cell r="D364">
            <v>1786.61</v>
          </cell>
          <cell r="E364">
            <v>1501.06</v>
          </cell>
          <cell r="F364">
            <v>1530.18</v>
          </cell>
          <cell r="G364" t="str">
            <v>OK</v>
          </cell>
          <cell r="H364" t="str">
            <v>OK</v>
          </cell>
          <cell r="I364">
            <v>0.85647119404906502</v>
          </cell>
          <cell r="J364">
            <v>1501.06</v>
          </cell>
          <cell r="K364" t="str">
            <v>OK</v>
          </cell>
        </row>
        <row r="365">
          <cell r="A365" t="str">
            <v>MAT0092</v>
          </cell>
          <cell r="B365" t="str">
            <v>EPF EM AÇO SOLDAVEL COM ABA DE VEDAÇÃOØ 1000mm x 0,90m.</v>
          </cell>
          <cell r="C365" t="str">
            <v xml:space="preserve">un </v>
          </cell>
          <cell r="D365">
            <v>3870.25</v>
          </cell>
          <cell r="E365">
            <v>3822.78</v>
          </cell>
          <cell r="F365">
            <v>3896.94</v>
          </cell>
          <cell r="G365" t="str">
            <v>OK</v>
          </cell>
          <cell r="H365" t="str">
            <v>OK</v>
          </cell>
          <cell r="I365">
            <v>1.0068961953362185</v>
          </cell>
          <cell r="J365">
            <v>3822.78</v>
          </cell>
          <cell r="K365" t="str">
            <v>OK</v>
          </cell>
        </row>
        <row r="366">
          <cell r="A366" t="str">
            <v>MAT0093</v>
          </cell>
          <cell r="B366" t="str">
            <v>EPF EM FERRO FUNDIDO COM ABA DE VEDAÇÃO Ø 200mm L=040m</v>
          </cell>
          <cell r="C366" t="str">
            <v>un</v>
          </cell>
          <cell r="D366">
            <v>495.03</v>
          </cell>
          <cell r="E366">
            <v>495.03</v>
          </cell>
          <cell r="F366">
            <v>573.20000000000005</v>
          </cell>
          <cell r="G366" t="str">
            <v>OK</v>
          </cell>
          <cell r="H366" t="str">
            <v>OK</v>
          </cell>
          <cell r="I366">
            <v>1.1579096216390927</v>
          </cell>
          <cell r="J366">
            <v>573.20000000000005</v>
          </cell>
          <cell r="K366" t="str">
            <v>B</v>
          </cell>
        </row>
        <row r="367">
          <cell r="A367" t="str">
            <v>MAT0094</v>
          </cell>
          <cell r="B367" t="str">
            <v>Evaporador de cloro com capacidade mínima de 90 (noventa) kg/h para operação automática de acordo com a entrada de gás e especificações técnicas em anexo. O equipamento deve estar em conformidade com as especificações técnicas em anexo</v>
          </cell>
          <cell r="C367" t="str">
            <v>ud</v>
          </cell>
          <cell r="D367">
            <v>233789.98</v>
          </cell>
          <cell r="E367">
            <v>217424.68140000003</v>
          </cell>
          <cell r="F367">
            <v>221642.72</v>
          </cell>
          <cell r="G367" t="str">
            <v>OK</v>
          </cell>
          <cell r="H367" t="str">
            <v>OK</v>
          </cell>
          <cell r="I367">
            <v>0.94804199906257736</v>
          </cell>
          <cell r="J367">
            <v>337562.45</v>
          </cell>
          <cell r="K367" t="str">
            <v>OK</v>
          </cell>
        </row>
        <row r="368">
          <cell r="A368" t="str">
            <v>MAT0095</v>
          </cell>
          <cell r="B368" t="str">
            <v>Exaustor com peças em material resistente à gases ácidos; d = 60 cm, axial trfásico 380v motor blindado</v>
          </cell>
          <cell r="C368" t="str">
            <v>ud</v>
          </cell>
          <cell r="D368">
            <v>1303.29</v>
          </cell>
          <cell r="E368">
            <v>1264.1913</v>
          </cell>
          <cell r="F368">
            <v>1288.72</v>
          </cell>
          <cell r="G368" t="str">
            <v>OK</v>
          </cell>
          <cell r="H368" t="str">
            <v>OK</v>
          </cell>
          <cell r="I368">
            <v>0.98882060017340734</v>
          </cell>
          <cell r="J368">
            <v>1635.53</v>
          </cell>
          <cell r="K368" t="str">
            <v>OK</v>
          </cell>
        </row>
        <row r="369">
          <cell r="A369" t="str">
            <v>MAT0096</v>
          </cell>
          <cell r="B369" t="str">
            <v xml:space="preserve">FLANGE CEGO DE AÇO SOLDÁVEL DN 600mm </v>
          </cell>
          <cell r="C369" t="str">
            <v>ud</v>
          </cell>
          <cell r="D369">
            <v>1136.33</v>
          </cell>
          <cell r="E369">
            <v>1056.7869000000001</v>
          </cell>
          <cell r="F369">
            <v>1077.29</v>
          </cell>
          <cell r="G369" t="str">
            <v>OK</v>
          </cell>
          <cell r="H369" t="str">
            <v>OK</v>
          </cell>
          <cell r="I369">
            <v>0.94804326208055756</v>
          </cell>
          <cell r="J369">
            <v>1365</v>
          </cell>
          <cell r="K369" t="str">
            <v>OK</v>
          </cell>
        </row>
        <row r="370">
          <cell r="A370" t="str">
            <v>MAT0097</v>
          </cell>
          <cell r="B370" t="str">
            <v>FLANGE CEGO DN=800MM</v>
          </cell>
          <cell r="C370" t="str">
            <v>ud</v>
          </cell>
          <cell r="D370">
            <v>3847.75</v>
          </cell>
          <cell r="E370">
            <v>3167.28</v>
          </cell>
          <cell r="F370">
            <v>3228.73</v>
          </cell>
          <cell r="G370" t="str">
            <v>OK</v>
          </cell>
          <cell r="H370" t="str">
            <v>OK</v>
          </cell>
          <cell r="I370">
            <v>0.83912156455071141</v>
          </cell>
          <cell r="J370">
            <v>3167.28</v>
          </cell>
          <cell r="K370" t="str">
            <v>OK</v>
          </cell>
        </row>
        <row r="371">
          <cell r="A371" t="str">
            <v>MAT0098</v>
          </cell>
          <cell r="B371" t="str">
            <v>FORNECIMENTO DE PEÇAS, MONTAGEM E INSTALAÇÃO DE DISSIPADOR DE ENERGIA EM MADEIRA DE LEI, CONFORME PROJETO DA COMPESA</v>
          </cell>
          <cell r="C371" t="str">
            <v>ud</v>
          </cell>
          <cell r="D371">
            <v>450.03</v>
          </cell>
          <cell r="E371">
            <v>450.03</v>
          </cell>
          <cell r="F371">
            <v>507.79</v>
          </cell>
          <cell r="G371" t="str">
            <v>OK</v>
          </cell>
          <cell r="H371" t="str">
            <v>OK</v>
          </cell>
          <cell r="I371">
            <v>1.1283469990889496</v>
          </cell>
          <cell r="J371">
            <v>507.79</v>
          </cell>
          <cell r="K371" t="str">
            <v>B</v>
          </cell>
        </row>
        <row r="372">
          <cell r="A372" t="str">
            <v>MAT0099</v>
          </cell>
          <cell r="B372" t="str">
            <v>FORNECIMENTO E INSTALAÇÃO DE COMPORTA NAS DIMENSÕES 400X400mm COM CILINDRO  PARA ACIONAMENTO PNEUMÁTICO E ACESSÓRIOS NECESSÁRIOS A FIXAÇÃO; INCLUSIVE REALIZAÇÕES DE TESTES.</v>
          </cell>
          <cell r="C372" t="str">
            <v>ud</v>
          </cell>
          <cell r="D372">
            <v>10195.85</v>
          </cell>
          <cell r="E372">
            <v>10195.85</v>
          </cell>
          <cell r="F372">
            <v>12540.89</v>
          </cell>
          <cell r="G372" t="str">
            <v>OK</v>
          </cell>
          <cell r="H372" t="str">
            <v>OK</v>
          </cell>
          <cell r="I372">
            <v>1.2299994605648374</v>
          </cell>
          <cell r="J372">
            <v>14673.96</v>
          </cell>
          <cell r="K372" t="str">
            <v>B</v>
          </cell>
        </row>
        <row r="373">
          <cell r="A373" t="str">
            <v>MAT0100</v>
          </cell>
          <cell r="B373" t="str">
            <v>FORNECIMENTO E MONTAGEM DE MESA DE COMANDO PNEUMÁTICO PARA FILTRO CONSTITUÍDA DE GABINETE EM FIBRA DE VIDRO ESQUADRIAS EM VIDRO FUMÊ, VÁLVULAS ROTATIVAS PARA REGISTRO E COMPORTAS PARA OITO MANOBRAS, MANIFOLD PARA DISTRIBUIÇÃO DE AR, INCLUSIVE CONEXÕES E T</v>
          </cell>
          <cell r="C373" t="str">
            <v>ud</v>
          </cell>
          <cell r="D373">
            <v>33189.629999999997</v>
          </cell>
          <cell r="E373">
            <v>32193.941099999996</v>
          </cell>
          <cell r="F373">
            <v>32818.5</v>
          </cell>
          <cell r="G373" t="str">
            <v>OK</v>
          </cell>
          <cell r="H373" t="str">
            <v>OK</v>
          </cell>
          <cell r="I373">
            <v>0.98881789281772658</v>
          </cell>
          <cell r="J373">
            <v>47496.06</v>
          </cell>
          <cell r="K373" t="str">
            <v>OK</v>
          </cell>
        </row>
        <row r="374">
          <cell r="A374" t="str">
            <v>MAT0101</v>
          </cell>
          <cell r="B374" t="str">
            <v>FORNECIMENTO,  MONTAGEM, INSTALAÇÃO E INTERLIGAÇÃO AO SISTEMA EXISTENTE  DE COMPRESSOR DE TIPO PISTÃO COM CAPACIDADE DE 72m3/h E PRESSÃO DE DESCARGA DE 7 kgf/cm2, COM RESERVATÓRIO DE PRESSÃO EM CHAPA DE AÇO CARBONO COM PRESSÃO DE SERVIÇO DE 100mca COM CAP</v>
          </cell>
          <cell r="C374" t="str">
            <v>ud</v>
          </cell>
          <cell r="D374">
            <v>41740.17</v>
          </cell>
          <cell r="E374">
            <v>40487.964899999999</v>
          </cell>
          <cell r="F374">
            <v>41273.43</v>
          </cell>
          <cell r="G374" t="str">
            <v>OK</v>
          </cell>
          <cell r="H374" t="str">
            <v>OK</v>
          </cell>
          <cell r="I374">
            <v>0.98881796600253424</v>
          </cell>
          <cell r="J374">
            <v>52380.83</v>
          </cell>
          <cell r="K374" t="str">
            <v>OK</v>
          </cell>
        </row>
        <row r="375">
          <cell r="A375" t="str">
            <v>MAT0104</v>
          </cell>
          <cell r="B375" t="str">
            <v xml:space="preserve">INTERLIGAÇÃO ENTRE CALHAS CONSTITUÍDAS DE TUBO VINILFORT DN 250mm COM COMPRIMENTO DE 0,65M,  LUVA  E  FLANGE EM PVC EM CADA EXTREMIDADE INCLUINDO FORNECIMENTO DO MATERIAL </v>
          </cell>
          <cell r="C375" t="str">
            <v>ud</v>
          </cell>
          <cell r="D375">
            <v>36</v>
          </cell>
          <cell r="E375">
            <v>34.630000000000003</v>
          </cell>
          <cell r="F375">
            <v>35.299999999999997</v>
          </cell>
          <cell r="G375" t="str">
            <v>OK</v>
          </cell>
          <cell r="H375" t="str">
            <v>OK</v>
          </cell>
          <cell r="I375">
            <v>0.98055555555555551</v>
          </cell>
          <cell r="J375">
            <v>34.630000000000003</v>
          </cell>
          <cell r="K375" t="str">
            <v>OK</v>
          </cell>
        </row>
        <row r="376">
          <cell r="A376" t="str">
            <v>MAT0105</v>
          </cell>
          <cell r="B376" t="str">
            <v>Joelho em PVC rígido roscável; DN = 2"</v>
          </cell>
          <cell r="C376" t="str">
            <v>ud</v>
          </cell>
          <cell r="D376">
            <v>12.24</v>
          </cell>
          <cell r="E376">
            <v>12.86</v>
          </cell>
          <cell r="F376">
            <v>13.11</v>
          </cell>
          <cell r="G376" t="str">
            <v>OK</v>
          </cell>
          <cell r="H376" t="str">
            <v>OK</v>
          </cell>
          <cell r="I376">
            <v>1.071078431372549</v>
          </cell>
          <cell r="J376">
            <v>12.86</v>
          </cell>
          <cell r="K376" t="str">
            <v>OK</v>
          </cell>
        </row>
        <row r="377">
          <cell r="A377" t="str">
            <v>MAT0106</v>
          </cell>
          <cell r="B377" t="str">
            <v>Joelho em PVC soldável; DN = 4"</v>
          </cell>
          <cell r="C377" t="str">
            <v>ud</v>
          </cell>
          <cell r="D377">
            <v>92.34</v>
          </cell>
          <cell r="E377">
            <v>79.77</v>
          </cell>
          <cell r="F377">
            <v>81.319999999999993</v>
          </cell>
          <cell r="G377" t="str">
            <v>OK</v>
          </cell>
          <cell r="H377" t="str">
            <v>OK</v>
          </cell>
          <cell r="I377">
            <v>0.88065843621399165</v>
          </cell>
          <cell r="J377">
            <v>79.77</v>
          </cell>
          <cell r="K377" t="str">
            <v>OK</v>
          </cell>
        </row>
        <row r="378">
          <cell r="A378" t="str">
            <v>MAT0107</v>
          </cell>
          <cell r="B378" t="str">
            <v>JUNTA  DRESSER Ø 1000mm</v>
          </cell>
          <cell r="C378" t="str">
            <v xml:space="preserve">un </v>
          </cell>
          <cell r="D378">
            <v>4500.29</v>
          </cell>
          <cell r="E378">
            <v>4365.2812999999996</v>
          </cell>
          <cell r="F378">
            <v>4449.97</v>
          </cell>
          <cell r="G378" t="str">
            <v>OK</v>
          </cell>
          <cell r="H378" t="str">
            <v>OK</v>
          </cell>
          <cell r="I378">
            <v>0.98881849836343882</v>
          </cell>
          <cell r="J378">
            <v>5647.54</v>
          </cell>
          <cell r="K378" t="str">
            <v>OK</v>
          </cell>
        </row>
        <row r="379">
          <cell r="A379" t="str">
            <v>MAT0108</v>
          </cell>
          <cell r="B379" t="str">
            <v>JUNTA DRESSER DE DESMONTAGEM EM AÇO DN 400mm</v>
          </cell>
          <cell r="C379" t="str">
            <v>ud</v>
          </cell>
          <cell r="D379">
            <v>2925.19</v>
          </cell>
          <cell r="E379">
            <v>3394.26</v>
          </cell>
          <cell r="F379">
            <v>3460.11</v>
          </cell>
          <cell r="G379" t="str">
            <v>OK</v>
          </cell>
          <cell r="H379" t="str">
            <v>OK</v>
          </cell>
          <cell r="I379">
            <v>1.182866753954444</v>
          </cell>
          <cell r="J379">
            <v>3394.26</v>
          </cell>
          <cell r="K379" t="str">
            <v>OK</v>
          </cell>
        </row>
        <row r="380">
          <cell r="A380" t="str">
            <v>MAT0109</v>
          </cell>
          <cell r="B380" t="str">
            <v>JUNTA DRESSER DE DESMONTAGEM EM AÇO DN 600mm</v>
          </cell>
          <cell r="C380" t="str">
            <v>ud</v>
          </cell>
          <cell r="D380">
            <v>2902.69</v>
          </cell>
          <cell r="E380">
            <v>2815.6093000000001</v>
          </cell>
          <cell r="F380">
            <v>2870.23</v>
          </cell>
          <cell r="G380" t="str">
            <v>OK</v>
          </cell>
          <cell r="H380" t="str">
            <v>OK</v>
          </cell>
          <cell r="I380">
            <v>0.98881726949829296</v>
          </cell>
          <cell r="J380">
            <v>3642.66</v>
          </cell>
          <cell r="K380" t="str">
            <v>OK</v>
          </cell>
        </row>
        <row r="381">
          <cell r="A381" t="str">
            <v>MAT0110</v>
          </cell>
          <cell r="B381" t="str">
            <v>JUNTA DRESSER DN=600MM</v>
          </cell>
          <cell r="C381" t="str">
            <v>ud</v>
          </cell>
          <cell r="D381">
            <v>2902.69</v>
          </cell>
          <cell r="E381">
            <v>2815.6093000000001</v>
          </cell>
          <cell r="F381">
            <v>2870.23</v>
          </cell>
          <cell r="G381" t="str">
            <v>OK</v>
          </cell>
          <cell r="H381" t="str">
            <v>OK</v>
          </cell>
          <cell r="I381">
            <v>0.98881726949829296</v>
          </cell>
          <cell r="J381">
            <v>3642.66</v>
          </cell>
          <cell r="K381" t="str">
            <v>OK</v>
          </cell>
        </row>
        <row r="382">
          <cell r="A382" t="str">
            <v>MAT0111</v>
          </cell>
          <cell r="B382" t="str">
            <v>JUNTA DRESSER DN=800MM</v>
          </cell>
          <cell r="C382" t="str">
            <v>ud</v>
          </cell>
          <cell r="D382">
            <v>4252.7700000000004</v>
          </cell>
          <cell r="E382">
            <v>4125.1869000000006</v>
          </cell>
          <cell r="F382">
            <v>4205.22</v>
          </cell>
          <cell r="G382" t="str">
            <v>OK</v>
          </cell>
          <cell r="H382" t="str">
            <v>OK</v>
          </cell>
          <cell r="I382">
            <v>0.98881905205313236</v>
          </cell>
          <cell r="J382">
            <v>5336.91</v>
          </cell>
          <cell r="K382" t="str">
            <v>OK</v>
          </cell>
        </row>
        <row r="383">
          <cell r="A383" t="str">
            <v>MAT0112</v>
          </cell>
          <cell r="B383" t="str">
            <v>JUNTA GIBAULT JGI16 DN=800MM</v>
          </cell>
          <cell r="C383" t="str">
            <v>ud</v>
          </cell>
          <cell r="D383">
            <v>9563.11</v>
          </cell>
          <cell r="E383">
            <v>7863.48</v>
          </cell>
          <cell r="F383">
            <v>8016.03</v>
          </cell>
          <cell r="G383" t="str">
            <v>OK</v>
          </cell>
          <cell r="H383" t="str">
            <v>OK</v>
          </cell>
          <cell r="I383">
            <v>0.83822417602641808</v>
          </cell>
          <cell r="J383">
            <v>7863.48</v>
          </cell>
          <cell r="K383" t="str">
            <v>OK</v>
          </cell>
        </row>
        <row r="384">
          <cell r="A384" t="str">
            <v>MAT0116</v>
          </cell>
          <cell r="B384" t="str">
            <v>Linha em PVC soldável de d = 3/4" para alívio de pressão do evaporador, constituída de: quatro joelhos, um tê e seis metros de tubo</v>
          </cell>
          <cell r="C384" t="str">
            <v>ud</v>
          </cell>
          <cell r="D384">
            <v>14.81</v>
          </cell>
          <cell r="E384">
            <v>13.06</v>
          </cell>
          <cell r="F384">
            <v>13.31</v>
          </cell>
          <cell r="G384" t="str">
            <v>OK</v>
          </cell>
          <cell r="H384" t="str">
            <v>OK</v>
          </cell>
          <cell r="I384">
            <v>0.89871708305199194</v>
          </cell>
          <cell r="J384">
            <v>13.06</v>
          </cell>
          <cell r="K384" t="str">
            <v>OK</v>
          </cell>
        </row>
        <row r="385">
          <cell r="A385" t="str">
            <v>MAT0117</v>
          </cell>
          <cell r="B385" t="str">
            <v xml:space="preserve">Linha em PVC soldável, d = 60 mm para condução de solução superclorada constituída de: 300 (trezentos) metros de tubos, 20 joelhos e 8 tês </v>
          </cell>
          <cell r="C385" t="str">
            <v>ud</v>
          </cell>
          <cell r="D385">
            <v>3830.02</v>
          </cell>
          <cell r="E385">
            <v>3889.81</v>
          </cell>
          <cell r="F385">
            <v>3965.27</v>
          </cell>
          <cell r="G385" t="str">
            <v>OK</v>
          </cell>
          <cell r="H385" t="str">
            <v>OK</v>
          </cell>
          <cell r="I385">
            <v>1.0353131315241173</v>
          </cell>
          <cell r="J385">
            <v>3889.81</v>
          </cell>
          <cell r="K385" t="str">
            <v>OK</v>
          </cell>
        </row>
        <row r="386">
          <cell r="A386" t="str">
            <v>MAT0118</v>
          </cell>
          <cell r="B386" t="str">
            <v>LUVA DE AÇO GALVANIZADO ROSCÁVEL DN 75mm</v>
          </cell>
          <cell r="C386" t="str">
            <v>ud</v>
          </cell>
          <cell r="D386">
            <v>21.14</v>
          </cell>
          <cell r="E386">
            <v>20.505800000000001</v>
          </cell>
          <cell r="F386">
            <v>20.9</v>
          </cell>
          <cell r="G386" t="str">
            <v>OK</v>
          </cell>
          <cell r="H386" t="str">
            <v>OK</v>
          </cell>
          <cell r="I386">
            <v>0.98864711447492892</v>
          </cell>
          <cell r="J386">
            <v>26.54</v>
          </cell>
          <cell r="K386" t="str">
            <v>OK</v>
          </cell>
        </row>
        <row r="387">
          <cell r="A387" t="str">
            <v>MAT0119</v>
          </cell>
          <cell r="B387" t="str">
            <v>LUVA DE CORRER LCRJM16 DN=1000MM</v>
          </cell>
          <cell r="C387" t="str">
            <v>ud</v>
          </cell>
          <cell r="D387">
            <v>12832.57</v>
          </cell>
          <cell r="E387">
            <v>13177.67</v>
          </cell>
          <cell r="F387">
            <v>13433.32</v>
          </cell>
          <cell r="G387" t="str">
            <v>OK</v>
          </cell>
          <cell r="H387" t="str">
            <v>OK</v>
          </cell>
          <cell r="I387">
            <v>1.0468144728608533</v>
          </cell>
          <cell r="J387">
            <v>13177.67</v>
          </cell>
          <cell r="K387" t="str">
            <v>OK</v>
          </cell>
        </row>
        <row r="388">
          <cell r="A388" t="str">
            <v>MAT0120</v>
          </cell>
          <cell r="B388" t="str">
            <v>LUVA DE CORRER LCRJM16 DN=600MM</v>
          </cell>
          <cell r="C388" t="str">
            <v>ud</v>
          </cell>
          <cell r="D388">
            <v>5261.97</v>
          </cell>
          <cell r="E388">
            <v>5277.5</v>
          </cell>
          <cell r="F388">
            <v>5379.88</v>
          </cell>
          <cell r="G388" t="str">
            <v>OK</v>
          </cell>
          <cell r="H388" t="str">
            <v>OK</v>
          </cell>
          <cell r="I388">
            <v>1.0224079574760023</v>
          </cell>
          <cell r="J388">
            <v>5277.5</v>
          </cell>
          <cell r="K388" t="str">
            <v>OK</v>
          </cell>
        </row>
        <row r="389">
          <cell r="A389" t="str">
            <v>MAT0121</v>
          </cell>
          <cell r="B389" t="str">
            <v>LUVA DE CORRER LCRJM16 DN=700MM</v>
          </cell>
          <cell r="C389" t="str">
            <v>ud</v>
          </cell>
          <cell r="D389">
            <v>9279.59</v>
          </cell>
          <cell r="E389">
            <v>7791.7</v>
          </cell>
          <cell r="F389">
            <v>7942.86</v>
          </cell>
          <cell r="G389" t="str">
            <v>OK</v>
          </cell>
          <cell r="H389" t="str">
            <v>OK</v>
          </cell>
          <cell r="I389">
            <v>0.85594945466340644</v>
          </cell>
          <cell r="J389">
            <v>7791.7</v>
          </cell>
          <cell r="K389" t="str">
            <v>OK</v>
          </cell>
        </row>
        <row r="390">
          <cell r="A390" t="str">
            <v>MAT0122</v>
          </cell>
          <cell r="B390" t="str">
            <v>Luva de correr em aço - Junta mecânica. DN = 750mm</v>
          </cell>
          <cell r="C390" t="str">
            <v xml:space="preserve">un </v>
          </cell>
          <cell r="D390">
            <v>3367.34</v>
          </cell>
          <cell r="E390">
            <v>3266.3198000000002</v>
          </cell>
          <cell r="F390">
            <v>3329.69</v>
          </cell>
          <cell r="G390" t="str">
            <v>OK</v>
          </cell>
          <cell r="H390" t="str">
            <v>OK</v>
          </cell>
          <cell r="I390">
            <v>0.98881906786959439</v>
          </cell>
          <cell r="J390">
            <v>4225.7700000000004</v>
          </cell>
          <cell r="K390" t="str">
            <v>OK</v>
          </cell>
        </row>
        <row r="391">
          <cell r="A391" t="str">
            <v>MAT0123</v>
          </cell>
          <cell r="B391" t="str">
            <v>LUVA DE CORRER LCRJM16 DN=800MM</v>
          </cell>
          <cell r="C391" t="str">
            <v>ud</v>
          </cell>
          <cell r="D391">
            <v>10187.530000000001</v>
          </cell>
          <cell r="E391">
            <v>10435.950000000001</v>
          </cell>
          <cell r="F391">
            <v>10638.41</v>
          </cell>
          <cell r="G391" t="str">
            <v>OK</v>
          </cell>
          <cell r="H391" t="str">
            <v>OK</v>
          </cell>
          <cell r="I391">
            <v>1.0442580291788097</v>
          </cell>
          <cell r="J391">
            <v>10435.950000000001</v>
          </cell>
          <cell r="K391" t="str">
            <v>OK</v>
          </cell>
        </row>
        <row r="392">
          <cell r="A392" t="str">
            <v>MAT0124</v>
          </cell>
          <cell r="B392" t="str">
            <v>Manifolds constituído deTubo flexível em aço inox; d = 1" e L = 1,0 m; com válvula para engate rápido acoplada na extremidade do tubo</v>
          </cell>
          <cell r="C392" t="str">
            <v>ud</v>
          </cell>
          <cell r="D392">
            <v>439.23</v>
          </cell>
          <cell r="E392">
            <v>426.05310000000003</v>
          </cell>
          <cell r="F392">
            <v>434.32</v>
          </cell>
          <cell r="G392" t="str">
            <v>OK</v>
          </cell>
          <cell r="H392" t="str">
            <v>OK</v>
          </cell>
          <cell r="I392">
            <v>0.98882134644719166</v>
          </cell>
          <cell r="J392">
            <v>551.21</v>
          </cell>
          <cell r="K392" t="str">
            <v>OK</v>
          </cell>
        </row>
        <row r="393">
          <cell r="A393" t="str">
            <v>MAT0128</v>
          </cell>
          <cell r="B393" t="str">
            <v>Computador com impressora, conforme especificação</v>
          </cell>
          <cell r="C393" t="str">
            <v>ud</v>
          </cell>
          <cell r="D393">
            <v>2859.92</v>
          </cell>
          <cell r="E393">
            <v>2617.04</v>
          </cell>
          <cell r="F393">
            <v>2667.81</v>
          </cell>
          <cell r="G393" t="str">
            <v>OK</v>
          </cell>
          <cell r="H393" t="str">
            <v>OK</v>
          </cell>
          <cell r="I393">
            <v>0.93282679235782817</v>
          </cell>
          <cell r="J393">
            <v>2617.04</v>
          </cell>
          <cell r="K393" t="str">
            <v>OK</v>
          </cell>
        </row>
        <row r="394">
          <cell r="A394" t="str">
            <v>MAT0129</v>
          </cell>
          <cell r="B394" t="str">
            <v>Montagem e instalação de componentes do sistema de cloração compreendendo: os manifolds, os evaporadores, os cloradores, o quadro de comando, as linhas para condução da solução superclorada e do analisador de cloro.</v>
          </cell>
          <cell r="C394" t="str">
            <v>ud</v>
          </cell>
          <cell r="D394">
            <v>8786.4500000000007</v>
          </cell>
          <cell r="E394">
            <v>9461.82</v>
          </cell>
          <cell r="F394">
            <v>9645.3799999999992</v>
          </cell>
          <cell r="G394" t="str">
            <v>OK</v>
          </cell>
          <cell r="H394" t="str">
            <v>OK</v>
          </cell>
          <cell r="I394">
            <v>1.0977562041552615</v>
          </cell>
          <cell r="J394">
            <v>9461.82</v>
          </cell>
          <cell r="K394" t="str">
            <v>OK</v>
          </cell>
        </row>
        <row r="395">
          <cell r="A395" t="str">
            <v>MAT0130</v>
          </cell>
          <cell r="B395" t="str">
            <v>Montagem e instalação de componentes do sistema de aplicação de coagulante compreendendo:as linhas para condução das soluções de sulfato, a linha de esgoto das tinas, a linha de água para as tinas, as bombas dosadoras, as bombas de tranferência, o control</v>
          </cell>
          <cell r="C395" t="str">
            <v>ud</v>
          </cell>
          <cell r="D395">
            <v>2667.77</v>
          </cell>
          <cell r="E395">
            <v>3010.18</v>
          </cell>
          <cell r="F395">
            <v>3068.58</v>
          </cell>
          <cell r="G395" t="str">
            <v>OK</v>
          </cell>
          <cell r="H395" t="str">
            <v>OK</v>
          </cell>
          <cell r="I395">
            <v>1.150241587543154</v>
          </cell>
          <cell r="J395">
            <v>3010.18</v>
          </cell>
          <cell r="K395" t="str">
            <v>OK</v>
          </cell>
        </row>
        <row r="396">
          <cell r="A396" t="str">
            <v>MAT0133</v>
          </cell>
          <cell r="B396" t="str">
            <v>20mm x 90mm</v>
          </cell>
          <cell r="C396" t="str">
            <v xml:space="preserve">un </v>
          </cell>
          <cell r="D396">
            <v>3.37</v>
          </cell>
          <cell r="E396">
            <v>3.2688999999999999</v>
          </cell>
          <cell r="F396">
            <v>3.33</v>
          </cell>
          <cell r="G396" t="str">
            <v>OK</v>
          </cell>
          <cell r="H396" t="str">
            <v>OK</v>
          </cell>
          <cell r="I396">
            <v>0.98813056379821962</v>
          </cell>
          <cell r="J396">
            <v>4.2300000000000004</v>
          </cell>
          <cell r="K396" t="str">
            <v>OK</v>
          </cell>
        </row>
        <row r="397">
          <cell r="A397" t="str">
            <v>MAT0134</v>
          </cell>
          <cell r="B397" t="str">
            <v>24mm x 100mm</v>
          </cell>
          <cell r="C397" t="str">
            <v xml:space="preserve">un </v>
          </cell>
          <cell r="D397">
            <v>5.18</v>
          </cell>
          <cell r="E397">
            <v>5.0245999999999995</v>
          </cell>
          <cell r="F397">
            <v>5.12</v>
          </cell>
          <cell r="G397" t="str">
            <v>OK</v>
          </cell>
          <cell r="H397" t="str">
            <v>OK</v>
          </cell>
          <cell r="I397">
            <v>0.98841698841698844</v>
          </cell>
          <cell r="J397">
            <v>6.5</v>
          </cell>
          <cell r="K397" t="str">
            <v>OK</v>
          </cell>
        </row>
        <row r="398">
          <cell r="A398" t="str">
            <v>MAT0135</v>
          </cell>
          <cell r="B398" t="str">
            <v>PARAFUSO PPF16 20X90MM</v>
          </cell>
          <cell r="C398" t="str">
            <v>ud</v>
          </cell>
          <cell r="D398">
            <v>3.37</v>
          </cell>
          <cell r="E398">
            <v>3.2688999999999999</v>
          </cell>
          <cell r="F398">
            <v>3.33</v>
          </cell>
          <cell r="G398" t="str">
            <v>OK</v>
          </cell>
          <cell r="H398" t="str">
            <v>OK</v>
          </cell>
          <cell r="I398">
            <v>0.98813056379821962</v>
          </cell>
          <cell r="J398">
            <v>4.2300000000000004</v>
          </cell>
          <cell r="K398" t="str">
            <v>OK</v>
          </cell>
        </row>
        <row r="399">
          <cell r="A399" t="str">
            <v>MAT0136</v>
          </cell>
          <cell r="B399" t="str">
            <v>PARAFUSO PPF16 27X120MM</v>
          </cell>
          <cell r="C399" t="str">
            <v>ud</v>
          </cell>
          <cell r="D399">
            <v>9.34</v>
          </cell>
          <cell r="E399">
            <v>9.41</v>
          </cell>
          <cell r="F399">
            <v>9.59</v>
          </cell>
          <cell r="G399" t="str">
            <v>OK</v>
          </cell>
          <cell r="H399" t="str">
            <v>OK</v>
          </cell>
          <cell r="I399">
            <v>1.0267665952890792</v>
          </cell>
          <cell r="J399">
            <v>9.41</v>
          </cell>
          <cell r="K399" t="str">
            <v>OK</v>
          </cell>
        </row>
        <row r="400">
          <cell r="A400" t="str">
            <v>MAT0137</v>
          </cell>
          <cell r="B400" t="str">
            <v>30mm x 130mm</v>
          </cell>
          <cell r="C400" t="str">
            <v xml:space="preserve">un </v>
          </cell>
          <cell r="D400">
            <v>33.76</v>
          </cell>
          <cell r="E400">
            <v>35.299999999999997</v>
          </cell>
          <cell r="F400">
            <v>35.979999999999997</v>
          </cell>
          <cell r="G400" t="str">
            <v>OK</v>
          </cell>
          <cell r="H400" t="str">
            <v>OK</v>
          </cell>
          <cell r="I400">
            <v>1.0657582938388626</v>
          </cell>
          <cell r="J400">
            <v>35.299999999999997</v>
          </cell>
          <cell r="K400" t="str">
            <v>OK</v>
          </cell>
        </row>
        <row r="401">
          <cell r="A401" t="str">
            <v>MAT0138</v>
          </cell>
          <cell r="B401" t="str">
            <v>PARAFUSO PPF16 33X130MM</v>
          </cell>
          <cell r="C401" t="str">
            <v>ud</v>
          </cell>
          <cell r="D401">
            <v>51.75</v>
          </cell>
          <cell r="E401">
            <v>45.77</v>
          </cell>
          <cell r="F401">
            <v>46.66</v>
          </cell>
          <cell r="G401" t="str">
            <v>OK</v>
          </cell>
          <cell r="H401" t="str">
            <v>OK</v>
          </cell>
          <cell r="I401">
            <v>0.90164251207729462</v>
          </cell>
          <cell r="J401">
            <v>45.77</v>
          </cell>
          <cell r="K401" t="str">
            <v>OK</v>
          </cell>
        </row>
        <row r="402">
          <cell r="A402" t="str">
            <v>MAT0139</v>
          </cell>
          <cell r="B402" t="str">
            <v>PARAFUSO PPF16 36X140MM</v>
          </cell>
          <cell r="C402" t="str">
            <v>ud</v>
          </cell>
          <cell r="D402">
            <v>74.260000000000005</v>
          </cell>
          <cell r="E402">
            <v>62.91</v>
          </cell>
          <cell r="F402">
            <v>64.13</v>
          </cell>
          <cell r="G402" t="str">
            <v>OK</v>
          </cell>
          <cell r="H402" t="str">
            <v>OK</v>
          </cell>
          <cell r="I402">
            <v>0.86358739563695108</v>
          </cell>
          <cell r="J402">
            <v>62.91</v>
          </cell>
          <cell r="K402" t="str">
            <v>OK</v>
          </cell>
        </row>
        <row r="403">
          <cell r="A403" t="str">
            <v>MAT0140</v>
          </cell>
          <cell r="B403" t="str">
            <v>Ponte rolante para vão de 9,0 m  conforme especificação em anexo, inclusive carro trole, talha e gancho suporte para cilindro de cloro; capacidade = 2 t.</v>
          </cell>
          <cell r="C403" t="str">
            <v>ud</v>
          </cell>
          <cell r="D403">
            <v>47253.03</v>
          </cell>
          <cell r="E403">
            <v>54841.32</v>
          </cell>
          <cell r="F403">
            <v>55905.24</v>
          </cell>
          <cell r="G403" t="str">
            <v>OK</v>
          </cell>
          <cell r="H403" t="str">
            <v>OK</v>
          </cell>
          <cell r="I403">
            <v>1.1831038136602035</v>
          </cell>
          <cell r="J403">
            <v>54841.32</v>
          </cell>
          <cell r="K403" t="str">
            <v>OK</v>
          </cell>
        </row>
        <row r="404">
          <cell r="A404" t="str">
            <v>MAT0141</v>
          </cell>
          <cell r="B404" t="str">
            <v>PPF-10; d = 20 mm; L = 90 mm</v>
          </cell>
          <cell r="C404" t="str">
            <v>ud</v>
          </cell>
          <cell r="D404">
            <v>3.37</v>
          </cell>
          <cell r="E404">
            <v>3.2688999999999999</v>
          </cell>
          <cell r="F404">
            <v>3.33</v>
          </cell>
          <cell r="G404" t="str">
            <v>OK</v>
          </cell>
          <cell r="H404" t="str">
            <v>OK</v>
          </cell>
          <cell r="I404">
            <v>0.98813056379821962</v>
          </cell>
          <cell r="J404">
            <v>4.2300000000000004</v>
          </cell>
          <cell r="K404" t="str">
            <v>OK</v>
          </cell>
        </row>
        <row r="405">
          <cell r="A405" t="str">
            <v>MAT0142</v>
          </cell>
          <cell r="B405" t="str">
            <v>PPFØ 20mm X 90mm</v>
          </cell>
          <cell r="C405" t="str">
            <v>un</v>
          </cell>
          <cell r="D405">
            <v>3.37</v>
          </cell>
          <cell r="E405">
            <v>3.2688999999999999</v>
          </cell>
          <cell r="F405">
            <v>3.33</v>
          </cell>
          <cell r="G405" t="str">
            <v>OK</v>
          </cell>
          <cell r="H405" t="str">
            <v>OK</v>
          </cell>
          <cell r="I405">
            <v>0.98813056379821962</v>
          </cell>
          <cell r="J405">
            <v>4.2300000000000004</v>
          </cell>
          <cell r="K405" t="str">
            <v>OK</v>
          </cell>
        </row>
        <row r="406">
          <cell r="A406" t="str">
            <v>MAT0143</v>
          </cell>
          <cell r="B406" t="str">
            <v>Quadro de proteção e comando para evaporador de cloro conforme especificação técnica em anexo</v>
          </cell>
          <cell r="C406" t="str">
            <v>ud</v>
          </cell>
          <cell r="D406">
            <v>9264.07</v>
          </cell>
          <cell r="E406">
            <v>8615.5851000000002</v>
          </cell>
          <cell r="F406">
            <v>8782.73</v>
          </cell>
          <cell r="G406" t="str">
            <v>OK</v>
          </cell>
          <cell r="H406" t="str">
            <v>OK</v>
          </cell>
          <cell r="I406">
            <v>0.9480422751555202</v>
          </cell>
          <cell r="J406">
            <v>11425.28</v>
          </cell>
          <cell r="K406" t="str">
            <v>OK</v>
          </cell>
        </row>
        <row r="407">
          <cell r="A407" t="str">
            <v>MAT0144</v>
          </cell>
          <cell r="B407" t="str">
            <v>REDUÇÃO CONCÊNTRICA FF16 DN=600X400MM</v>
          </cell>
          <cell r="C407" t="str">
            <v>ud</v>
          </cell>
          <cell r="D407">
            <v>3746.5</v>
          </cell>
          <cell r="E407">
            <v>3235.13</v>
          </cell>
          <cell r="F407">
            <v>3297.89</v>
          </cell>
          <cell r="G407" t="str">
            <v>OK</v>
          </cell>
          <cell r="H407" t="str">
            <v>OK</v>
          </cell>
          <cell r="I407">
            <v>0.88025890831442677</v>
          </cell>
          <cell r="J407">
            <v>3235.13</v>
          </cell>
          <cell r="K407" t="str">
            <v>OK</v>
          </cell>
        </row>
        <row r="408">
          <cell r="A408" t="str">
            <v>MAT0145</v>
          </cell>
          <cell r="B408" t="str">
            <v>REDUÇÃO DE AÇO SOLDÁVEL  DN 800X600mm</v>
          </cell>
          <cell r="C408" t="str">
            <v>ud</v>
          </cell>
          <cell r="D408">
            <v>2057.75</v>
          </cell>
          <cell r="E408">
            <v>1692.04</v>
          </cell>
          <cell r="F408">
            <v>1724.87</v>
          </cell>
          <cell r="G408" t="str">
            <v>OK</v>
          </cell>
          <cell r="H408" t="str">
            <v>OK</v>
          </cell>
          <cell r="I408">
            <v>0.83823107763333737</v>
          </cell>
          <cell r="J408">
            <v>1692.04</v>
          </cell>
          <cell r="K408" t="str">
            <v>OK</v>
          </cell>
        </row>
        <row r="409">
          <cell r="A409" t="str">
            <v>MAT0146</v>
          </cell>
          <cell r="B409" t="str">
            <v>REDUÇÃO EXCÊNTRICA FF16 DN=800X500MM</v>
          </cell>
          <cell r="C409" t="str">
            <v>ud</v>
          </cell>
          <cell r="D409">
            <v>5400.35</v>
          </cell>
          <cell r="E409">
            <v>4853.71</v>
          </cell>
          <cell r="F409">
            <v>4947.87</v>
          </cell>
          <cell r="G409" t="str">
            <v>OK</v>
          </cell>
          <cell r="H409" t="str">
            <v>OK</v>
          </cell>
          <cell r="I409">
            <v>0.91621283805679254</v>
          </cell>
          <cell r="J409">
            <v>4853.71</v>
          </cell>
          <cell r="K409" t="str">
            <v>OK</v>
          </cell>
        </row>
        <row r="410">
          <cell r="A410" t="str">
            <v>MAT0147</v>
          </cell>
          <cell r="B410" t="str">
            <v>REDUÇÃO RFF16 DN=800X600MM</v>
          </cell>
          <cell r="C410" t="str">
            <v>ud</v>
          </cell>
          <cell r="D410">
            <v>5291.21</v>
          </cell>
          <cell r="E410">
            <v>5197.71</v>
          </cell>
          <cell r="F410">
            <v>5298.55</v>
          </cell>
          <cell r="G410" t="str">
            <v>OK</v>
          </cell>
          <cell r="H410" t="str">
            <v>OK</v>
          </cell>
          <cell r="I410">
            <v>1.0013872063289873</v>
          </cell>
          <cell r="J410">
            <v>5197.71</v>
          </cell>
          <cell r="K410" t="str">
            <v>OK</v>
          </cell>
        </row>
        <row r="411">
          <cell r="A411" t="str">
            <v>MAT0148</v>
          </cell>
          <cell r="B411" t="str">
            <v>REDUÇÃO RFF16 DN=800X750MM</v>
          </cell>
          <cell r="C411" t="str">
            <v>ud</v>
          </cell>
          <cell r="D411">
            <v>5529.73</v>
          </cell>
          <cell r="E411">
            <v>5423.73</v>
          </cell>
          <cell r="F411">
            <v>5528.95</v>
          </cell>
          <cell r="G411" t="str">
            <v>OK</v>
          </cell>
          <cell r="H411" t="str">
            <v>OK</v>
          </cell>
          <cell r="I411">
            <v>0.99985894428841915</v>
          </cell>
          <cell r="J411">
            <v>5423.73</v>
          </cell>
          <cell r="K411" t="str">
            <v>OK</v>
          </cell>
        </row>
        <row r="412">
          <cell r="A412" t="str">
            <v>MAT0149</v>
          </cell>
          <cell r="B412" t="str">
            <v>REDUÇÃO RJM16 DN=1000X600MM</v>
          </cell>
          <cell r="C412" t="str">
            <v>ud</v>
          </cell>
          <cell r="D412">
            <v>6742.56</v>
          </cell>
          <cell r="E412">
            <v>7227.57</v>
          </cell>
          <cell r="F412">
            <v>7367.78</v>
          </cell>
          <cell r="G412" t="str">
            <v>OK</v>
          </cell>
          <cell r="H412" t="str">
            <v>OK</v>
          </cell>
          <cell r="I412">
            <v>1.0927273913765689</v>
          </cell>
          <cell r="J412">
            <v>7227.57</v>
          </cell>
          <cell r="K412" t="str">
            <v>OK</v>
          </cell>
        </row>
        <row r="413">
          <cell r="A413" t="str">
            <v>MAT0150</v>
          </cell>
          <cell r="B413" t="str">
            <v>REDUÇÃO RJM16 DN=700X600MM</v>
          </cell>
          <cell r="C413" t="str">
            <v>ud</v>
          </cell>
          <cell r="D413">
            <v>5957.25</v>
          </cell>
          <cell r="E413">
            <v>5540.2425000000003</v>
          </cell>
          <cell r="F413">
            <v>5647.72</v>
          </cell>
          <cell r="G413" t="str">
            <v>OK</v>
          </cell>
          <cell r="H413" t="str">
            <v>OK</v>
          </cell>
          <cell r="I413">
            <v>0.9480414620840153</v>
          </cell>
          <cell r="J413">
            <v>7059.84</v>
          </cell>
          <cell r="K413" t="str">
            <v>OK</v>
          </cell>
        </row>
        <row r="414">
          <cell r="A414" t="str">
            <v>MAT0151</v>
          </cell>
          <cell r="B414" t="str">
            <v>REGISTRO DE GAVETA COM CILINDRO PNEUMÁTICO DN 150mm</v>
          </cell>
          <cell r="C414" t="str">
            <v>ud</v>
          </cell>
          <cell r="D414">
            <v>1791.12</v>
          </cell>
          <cell r="E414">
            <v>1737.3863999999999</v>
          </cell>
          <cell r="F414">
            <v>1771.09</v>
          </cell>
          <cell r="G414" t="str">
            <v>OK</v>
          </cell>
          <cell r="H414" t="str">
            <v>OK</v>
          </cell>
          <cell r="I414">
            <v>0.98881705301710665</v>
          </cell>
          <cell r="J414">
            <v>2247.71</v>
          </cell>
          <cell r="K414" t="str">
            <v>OK</v>
          </cell>
        </row>
        <row r="415">
          <cell r="A415" t="str">
            <v>MAT0152</v>
          </cell>
          <cell r="B415" t="str">
            <v xml:space="preserve">REGISTRO DE GAVETA COM FLANGE E CABEÇOTE Ø 150mm </v>
          </cell>
          <cell r="C415" t="str">
            <v>un</v>
          </cell>
          <cell r="D415">
            <v>933.81</v>
          </cell>
          <cell r="E415">
            <v>840.44</v>
          </cell>
          <cell r="F415">
            <v>856.74</v>
          </cell>
          <cell r="G415" t="str">
            <v>OK</v>
          </cell>
          <cell r="H415" t="str">
            <v>OK</v>
          </cell>
          <cell r="I415">
            <v>0.91746715070517559</v>
          </cell>
          <cell r="J415">
            <v>840.44</v>
          </cell>
          <cell r="K415" t="str">
            <v>OK</v>
          </cell>
        </row>
        <row r="416">
          <cell r="A416" t="str">
            <v>MAT0153</v>
          </cell>
          <cell r="B416" t="str">
            <v>Registro esfera; em aço inoxidável; DN = 4"</v>
          </cell>
          <cell r="C416" t="str">
            <v>ud</v>
          </cell>
          <cell r="D416">
            <v>562.54</v>
          </cell>
          <cell r="E416">
            <v>545.66379999999992</v>
          </cell>
          <cell r="F416">
            <v>556.25</v>
          </cell>
          <cell r="G416" t="str">
            <v>OK</v>
          </cell>
          <cell r="H416" t="str">
            <v>OK</v>
          </cell>
          <cell r="I416">
            <v>0.98881857290148267</v>
          </cell>
          <cell r="J416">
            <v>705.94</v>
          </cell>
          <cell r="K416" t="str">
            <v>OK</v>
          </cell>
        </row>
        <row r="417">
          <cell r="A417" t="str">
            <v>MAT0154</v>
          </cell>
          <cell r="B417" t="str">
            <v>REGISTRO GAVETA FLANGE-CABEÇOTE; PN-10; DN = 300 mm</v>
          </cell>
          <cell r="C417" t="str">
            <v>ud</v>
          </cell>
          <cell r="D417">
            <v>2778.93</v>
          </cell>
          <cell r="E417">
            <v>2574.1</v>
          </cell>
          <cell r="F417">
            <v>2624.04</v>
          </cell>
          <cell r="G417" t="str">
            <v>OK</v>
          </cell>
          <cell r="H417" t="str">
            <v>OK</v>
          </cell>
          <cell r="I417">
            <v>0.94426271982381715</v>
          </cell>
          <cell r="J417">
            <v>2574.1</v>
          </cell>
          <cell r="K417" t="str">
            <v>OK</v>
          </cell>
        </row>
        <row r="418">
          <cell r="A418" t="str">
            <v>MAT0155</v>
          </cell>
          <cell r="B418" t="str">
            <v>REGISTRO RCFC16 DN=200mm</v>
          </cell>
          <cell r="C418" t="str">
            <v>ud</v>
          </cell>
          <cell r="D418">
            <v>1471.59</v>
          </cell>
          <cell r="E418">
            <v>1291.3</v>
          </cell>
          <cell r="F418">
            <v>1316.35</v>
          </cell>
          <cell r="G418" t="str">
            <v>OK</v>
          </cell>
          <cell r="H418" t="str">
            <v>OK</v>
          </cell>
          <cell r="I418">
            <v>0.89450866070033097</v>
          </cell>
          <cell r="J418">
            <v>1291.3</v>
          </cell>
          <cell r="K418" t="str">
            <v>OK</v>
          </cell>
        </row>
        <row r="419">
          <cell r="A419" t="str">
            <v>MAT0156</v>
          </cell>
          <cell r="B419" t="str">
            <v>Revestimento da tina com fibra de vidro, através da aplicação de poliéster vinílico reforçado com manta de fibra vidro M-450 g/m2 e véu de poliéster (barreira química resistente ao sulfato), em camadas sucessivas com 3 mm de espessura do laminado. As pare</v>
          </cell>
          <cell r="C419" t="str">
            <v>m2</v>
          </cell>
          <cell r="D419">
            <v>100.92</v>
          </cell>
          <cell r="E419">
            <v>97.892399999999995</v>
          </cell>
          <cell r="F419">
            <v>99.79</v>
          </cell>
          <cell r="G419" t="str">
            <v>OK</v>
          </cell>
          <cell r="H419" t="str">
            <v>OK</v>
          </cell>
          <cell r="I419">
            <v>0.98880301228695999</v>
          </cell>
          <cell r="J419">
            <v>129.36000000000001</v>
          </cell>
          <cell r="K419" t="str">
            <v>OK</v>
          </cell>
        </row>
        <row r="420">
          <cell r="A420" t="str">
            <v>MAT0157</v>
          </cell>
          <cell r="B420" t="str">
            <v>Rotâmetro para clorador da Portacel com capacidade = 2.000 libras dias</v>
          </cell>
          <cell r="C420" t="str">
            <v>ud</v>
          </cell>
          <cell r="D420">
            <v>9338.1</v>
          </cell>
          <cell r="E420">
            <v>8290.7999999999993</v>
          </cell>
          <cell r="F420">
            <v>8451.64</v>
          </cell>
          <cell r="G420" t="str">
            <v>OK</v>
          </cell>
          <cell r="H420" t="str">
            <v>OK</v>
          </cell>
          <cell r="I420">
            <v>0.90507062464527033</v>
          </cell>
          <cell r="J420">
            <v>8290.7999999999993</v>
          </cell>
          <cell r="K420" t="str">
            <v>OK</v>
          </cell>
        </row>
        <row r="421">
          <cell r="A421" t="str">
            <v>MAT0158</v>
          </cell>
          <cell r="B421" t="str">
            <v>Rotâmetro para solução de sulfato de alumínio à 10%. Montagem vertical com fluxo ascendente, conexões com rosca, pressão de operação de 0,4 kg/ cm2 e medição até 3.000 l/h (componentes conforme normas AISI e NPTF)</v>
          </cell>
          <cell r="C421" t="str">
            <v>ud</v>
          </cell>
          <cell r="D421">
            <v>2034.13</v>
          </cell>
          <cell r="E421">
            <v>2057.4299999999998</v>
          </cell>
          <cell r="F421">
            <v>2097.34</v>
          </cell>
          <cell r="G421" t="str">
            <v>OK</v>
          </cell>
          <cell r="H421" t="str">
            <v>OK</v>
          </cell>
          <cell r="I421">
            <v>1.031074710072611</v>
          </cell>
          <cell r="J421">
            <v>2057.4299999999998</v>
          </cell>
          <cell r="K421" t="str">
            <v>OK</v>
          </cell>
        </row>
        <row r="422">
          <cell r="A422" t="str">
            <v>MAT0159</v>
          </cell>
          <cell r="B422" t="str">
            <v>Rotâmetro para solução de sulfato de alumínio à 20%. Montagem vertical com fluxo ascendente, conexões com rosca, pressão de operação de 0,4 kg/ cm2 e medição até 3.000 l/h (componentes conforme normas AISI e NPTF)</v>
          </cell>
          <cell r="C422" t="str">
            <v>ud</v>
          </cell>
          <cell r="D422">
            <v>2034.13</v>
          </cell>
          <cell r="E422">
            <v>2034.13</v>
          </cell>
          <cell r="F422">
            <v>2057.4299999999998</v>
          </cell>
          <cell r="G422" t="str">
            <v>OK</v>
          </cell>
          <cell r="H422" t="str">
            <v>OK</v>
          </cell>
          <cell r="I422">
            <v>1.0114545284716314</v>
          </cell>
          <cell r="J422">
            <v>2057.4299999999998</v>
          </cell>
          <cell r="K422" t="str">
            <v>B</v>
          </cell>
        </row>
        <row r="423">
          <cell r="A423" t="str">
            <v>MAT0160</v>
          </cell>
          <cell r="B423" t="str">
            <v>Semi-reboque tanque para transporte de cloro líquido, conforme especificação técnica em anexo</v>
          </cell>
          <cell r="C423" t="str">
            <v>ud</v>
          </cell>
          <cell r="D423">
            <v>337521.63</v>
          </cell>
          <cell r="E423">
            <v>327395.98109999998</v>
          </cell>
          <cell r="F423">
            <v>333747.46000000002</v>
          </cell>
          <cell r="G423" t="str">
            <v>OK</v>
          </cell>
          <cell r="H423" t="str">
            <v>OK</v>
          </cell>
          <cell r="I423">
            <v>0.98881799071662468</v>
          </cell>
          <cell r="J423">
            <v>486157.52</v>
          </cell>
          <cell r="K423" t="str">
            <v>OK</v>
          </cell>
        </row>
        <row r="424">
          <cell r="A424" t="str">
            <v>MAT0161</v>
          </cell>
          <cell r="B424" t="str">
            <v>Solução de soda cáustica comercial (concentração até 40%)</v>
          </cell>
          <cell r="C424" t="str">
            <v>Kg</v>
          </cell>
          <cell r="D424">
            <v>1.1200000000000001</v>
          </cell>
          <cell r="E424">
            <v>1.0864</v>
          </cell>
          <cell r="F424">
            <v>1.1100000000000001</v>
          </cell>
          <cell r="G424" t="str">
            <v>OK</v>
          </cell>
          <cell r="H424" t="str">
            <v>OK</v>
          </cell>
          <cell r="I424">
            <v>0.9910714285714286</v>
          </cell>
          <cell r="J424">
            <v>1.41</v>
          </cell>
          <cell r="K424" t="str">
            <v>OK</v>
          </cell>
        </row>
        <row r="425">
          <cell r="A425" t="str">
            <v>MAT0162</v>
          </cell>
          <cell r="B425" t="str">
            <v>Tanque cilíndrico vertical, fundo plano, com tampa abaulada fixa com boca d inspeção, para armazenamento de sulfato de alumínio (concentração = 50%), confeccionado em fibra de vidro, entrada e saída de d = 2". Volume útil = 40.000 litros;  D = 3,00 m e al</v>
          </cell>
          <cell r="C425" t="str">
            <v>ud</v>
          </cell>
          <cell r="D425">
            <v>16257.75</v>
          </cell>
          <cell r="E425">
            <v>15770.0175</v>
          </cell>
          <cell r="F425">
            <v>16075.96</v>
          </cell>
          <cell r="G425" t="str">
            <v>OK</v>
          </cell>
          <cell r="H425" t="str">
            <v>OK</v>
          </cell>
          <cell r="I425">
            <v>0.98881825590872041</v>
          </cell>
          <cell r="J425">
            <v>20402.28</v>
          </cell>
          <cell r="K425" t="str">
            <v>OK</v>
          </cell>
        </row>
        <row r="426">
          <cell r="A426" t="str">
            <v>MAT0163</v>
          </cell>
          <cell r="B426" t="str">
            <v xml:space="preserve">Tanque em PRFV com tampa removivél para armazenamento de soda cáustica comercial (concentração até 40%). O tanque deve ter D = 2,0 m, altura cilíndrica = 1,70 m e dreno de d = 2". </v>
          </cell>
          <cell r="C426" t="str">
            <v>ud</v>
          </cell>
          <cell r="D426">
            <v>7087.95</v>
          </cell>
          <cell r="E426">
            <v>6088.4</v>
          </cell>
          <cell r="F426">
            <v>6206.51</v>
          </cell>
          <cell r="G426" t="str">
            <v>OK</v>
          </cell>
          <cell r="H426" t="str">
            <v>OK</v>
          </cell>
          <cell r="I426">
            <v>0.87564246361783027</v>
          </cell>
          <cell r="J426">
            <v>6088.4</v>
          </cell>
          <cell r="K426" t="str">
            <v>OK</v>
          </cell>
        </row>
        <row r="427">
          <cell r="A427" t="str">
            <v>MAT0164</v>
          </cell>
          <cell r="B427" t="str">
            <v>TÊ DE AÇO SOLDÁVEL DN 600x500mm</v>
          </cell>
          <cell r="C427" t="str">
            <v>ud</v>
          </cell>
          <cell r="D427">
            <v>2840.81</v>
          </cell>
          <cell r="E427">
            <v>2344.29</v>
          </cell>
          <cell r="F427">
            <v>2389.77</v>
          </cell>
          <cell r="G427" t="str">
            <v>OK</v>
          </cell>
          <cell r="H427" t="str">
            <v>OK</v>
          </cell>
          <cell r="I427">
            <v>0.84122838204596573</v>
          </cell>
          <cell r="J427">
            <v>2344.29</v>
          </cell>
          <cell r="K427" t="str">
            <v>OK</v>
          </cell>
        </row>
        <row r="428">
          <cell r="A428" t="str">
            <v>MAT0165</v>
          </cell>
          <cell r="B428" t="str">
            <v>TÊ DE AÇO SOLDÁVEL DN 600x600mm</v>
          </cell>
          <cell r="C428" t="str">
            <v>ud</v>
          </cell>
          <cell r="D428">
            <v>2081.39</v>
          </cell>
          <cell r="E428">
            <v>2161.0100000000002</v>
          </cell>
          <cell r="F428">
            <v>2202.9299999999998</v>
          </cell>
          <cell r="G428" t="str">
            <v>OK</v>
          </cell>
          <cell r="H428" t="str">
            <v>OK</v>
          </cell>
          <cell r="I428">
            <v>1.0583936696150169</v>
          </cell>
          <cell r="J428">
            <v>2161.0100000000002</v>
          </cell>
          <cell r="K428" t="str">
            <v>OK</v>
          </cell>
        </row>
        <row r="429">
          <cell r="A429" t="str">
            <v>MAT0166</v>
          </cell>
          <cell r="B429" t="str">
            <v>TÊ EM AÇO SOLDÁVEL  Ø 1000mmX1000mm</v>
          </cell>
          <cell r="C429" t="str">
            <v xml:space="preserve">un </v>
          </cell>
          <cell r="D429">
            <v>3746.5</v>
          </cell>
          <cell r="E429">
            <v>3909.62</v>
          </cell>
          <cell r="F429">
            <v>3985.47</v>
          </cell>
          <cell r="G429" t="str">
            <v>OK</v>
          </cell>
          <cell r="H429" t="str">
            <v>OK</v>
          </cell>
          <cell r="I429">
            <v>1.0637848658748164</v>
          </cell>
          <cell r="J429">
            <v>3909.62</v>
          </cell>
          <cell r="K429" t="str">
            <v>OK</v>
          </cell>
        </row>
        <row r="430">
          <cell r="A430" t="str">
            <v>MAT0167</v>
          </cell>
          <cell r="B430" t="str">
            <v>TÊ TFF16  DN=750MM</v>
          </cell>
          <cell r="C430" t="str">
            <v>ud</v>
          </cell>
          <cell r="D430">
            <v>10058.14</v>
          </cell>
          <cell r="E430">
            <v>8270.5300000000007</v>
          </cell>
          <cell r="F430">
            <v>8430.98</v>
          </cell>
          <cell r="G430" t="str">
            <v>OK</v>
          </cell>
          <cell r="H430" t="str">
            <v>OK</v>
          </cell>
          <cell r="I430">
            <v>0.83822456239423992</v>
          </cell>
          <cell r="J430">
            <v>8270.5300000000007</v>
          </cell>
          <cell r="K430" t="str">
            <v>OK</v>
          </cell>
        </row>
        <row r="431">
          <cell r="A431" t="str">
            <v>MAT0168</v>
          </cell>
          <cell r="B431" t="str">
            <v>TÊ TFF16  DN=800MM</v>
          </cell>
          <cell r="C431" t="str">
            <v>ud</v>
          </cell>
          <cell r="D431">
            <v>10112.15</v>
          </cell>
          <cell r="E431">
            <v>10058.75</v>
          </cell>
          <cell r="F431">
            <v>10253.89</v>
          </cell>
          <cell r="G431" t="str">
            <v>OK</v>
          </cell>
          <cell r="H431" t="str">
            <v>OK</v>
          </cell>
          <cell r="I431">
            <v>1.0140168015703881</v>
          </cell>
          <cell r="J431">
            <v>10058.75</v>
          </cell>
          <cell r="K431" t="str">
            <v>OK</v>
          </cell>
        </row>
        <row r="432">
          <cell r="A432" t="str">
            <v>MAT0169</v>
          </cell>
          <cell r="B432" t="str">
            <v>TÊ TFF16  DN=800X600MM</v>
          </cell>
          <cell r="C432" t="str">
            <v>ud</v>
          </cell>
          <cell r="D432">
            <v>9823.01</v>
          </cell>
          <cell r="E432">
            <v>8077.19</v>
          </cell>
          <cell r="F432">
            <v>8233.89</v>
          </cell>
          <cell r="G432" t="str">
            <v>OK</v>
          </cell>
          <cell r="H432" t="str">
            <v>OK</v>
          </cell>
          <cell r="I432">
            <v>0.83822473966737276</v>
          </cell>
          <cell r="J432">
            <v>8077.19</v>
          </cell>
          <cell r="K432" t="str">
            <v>OK</v>
          </cell>
        </row>
        <row r="433">
          <cell r="A433" t="str">
            <v>MAT0170</v>
          </cell>
          <cell r="B433" t="str">
            <v>TÊ TFF16 DN= 600MM</v>
          </cell>
          <cell r="C433" t="str">
            <v>ud</v>
          </cell>
          <cell r="D433">
            <v>5491.48</v>
          </cell>
          <cell r="E433">
            <v>5345.27</v>
          </cell>
          <cell r="F433">
            <v>5448.97</v>
          </cell>
          <cell r="G433" t="str">
            <v>OK</v>
          </cell>
          <cell r="H433" t="str">
            <v>OK</v>
          </cell>
          <cell r="I433">
            <v>0.99225891745030492</v>
          </cell>
          <cell r="J433">
            <v>5345.27</v>
          </cell>
          <cell r="K433" t="str">
            <v>OK</v>
          </cell>
        </row>
        <row r="434">
          <cell r="A434" t="str">
            <v>MAT0171</v>
          </cell>
          <cell r="B434" t="str">
            <v>TÊ TFF16 DN=1000MM</v>
          </cell>
          <cell r="C434" t="str">
            <v>ud</v>
          </cell>
          <cell r="D434">
            <v>12068.65</v>
          </cell>
          <cell r="E434">
            <v>12068.65</v>
          </cell>
          <cell r="F434">
            <v>12337.48</v>
          </cell>
          <cell r="G434" t="str">
            <v>OK</v>
          </cell>
          <cell r="H434" t="str">
            <v>OK</v>
          </cell>
          <cell r="I434">
            <v>1.0222750680482076</v>
          </cell>
          <cell r="J434">
            <v>12337.48</v>
          </cell>
          <cell r="K434" t="str">
            <v>B</v>
          </cell>
        </row>
        <row r="435">
          <cell r="A435" t="str">
            <v>MAT0172</v>
          </cell>
          <cell r="B435" t="str">
            <v>TÊ TFF16 DN=1000X800MM</v>
          </cell>
          <cell r="C435" t="str">
            <v>ud</v>
          </cell>
          <cell r="D435">
            <v>15675.63</v>
          </cell>
          <cell r="E435">
            <v>15675.63</v>
          </cell>
          <cell r="F435">
            <v>19202.64</v>
          </cell>
          <cell r="G435" t="str">
            <v>OK</v>
          </cell>
          <cell r="H435" t="str">
            <v>OK</v>
          </cell>
          <cell r="I435">
            <v>1.2249995693952971</v>
          </cell>
          <cell r="J435">
            <v>22606.17</v>
          </cell>
          <cell r="K435" t="str">
            <v>B</v>
          </cell>
        </row>
        <row r="436">
          <cell r="A436" t="str">
            <v>MAT0173</v>
          </cell>
          <cell r="B436" t="str">
            <v>TÊ TJMF16 Ø=1000X200MM</v>
          </cell>
          <cell r="C436" t="str">
            <v>ud</v>
          </cell>
          <cell r="D436">
            <v>9080.4599999999991</v>
          </cell>
          <cell r="E436">
            <v>9080.4599999999991</v>
          </cell>
          <cell r="F436">
            <v>11159.88</v>
          </cell>
          <cell r="G436" t="str">
            <v>OK</v>
          </cell>
          <cell r="H436" t="str">
            <v>OK</v>
          </cell>
          <cell r="I436">
            <v>1.2289994119240655</v>
          </cell>
          <cell r="J436">
            <v>13116.3</v>
          </cell>
          <cell r="K436" t="str">
            <v>B</v>
          </cell>
        </row>
        <row r="437">
          <cell r="A437" t="str">
            <v>MAT0174</v>
          </cell>
          <cell r="B437" t="str">
            <v>TÊ TJMF16 Ø=600X200MM</v>
          </cell>
          <cell r="C437" t="str">
            <v>ud</v>
          </cell>
          <cell r="D437">
            <v>3863.5</v>
          </cell>
          <cell r="E437">
            <v>3863.5</v>
          </cell>
          <cell r="F437">
            <v>4786.87</v>
          </cell>
          <cell r="G437" t="str">
            <v>OK</v>
          </cell>
          <cell r="H437" t="str">
            <v>OK</v>
          </cell>
          <cell r="I437">
            <v>1.2389983175876795</v>
          </cell>
          <cell r="J437">
            <v>5571.63</v>
          </cell>
          <cell r="K437" t="str">
            <v>B</v>
          </cell>
        </row>
        <row r="438">
          <cell r="A438" t="str">
            <v>MAT0175</v>
          </cell>
          <cell r="B438" t="str">
            <v>TÊ TJMF16 Ø=700X200MM</v>
          </cell>
          <cell r="C438" t="str">
            <v>ud</v>
          </cell>
          <cell r="D438">
            <v>4873.8100000000004</v>
          </cell>
          <cell r="E438">
            <v>4727.5956999999999</v>
          </cell>
          <cell r="F438">
            <v>4819.3100000000004</v>
          </cell>
          <cell r="G438" t="str">
            <v>OK</v>
          </cell>
          <cell r="H438" t="str">
            <v>OK</v>
          </cell>
          <cell r="I438">
            <v>0.98881778321272273</v>
          </cell>
          <cell r="J438">
            <v>7008.76</v>
          </cell>
          <cell r="K438" t="str">
            <v>OK</v>
          </cell>
        </row>
        <row r="439">
          <cell r="A439" t="str">
            <v>MAT0176</v>
          </cell>
          <cell r="B439" t="str">
            <v xml:space="preserve">Tê junta mecânica e flange, DN = 800 x 200mm </v>
          </cell>
          <cell r="C439" t="str">
            <v>ud</v>
          </cell>
          <cell r="D439">
            <v>6210.4</v>
          </cell>
          <cell r="E439">
            <v>5521.39</v>
          </cell>
          <cell r="F439">
            <v>5628.5</v>
          </cell>
          <cell r="G439" t="str">
            <v>OK</v>
          </cell>
          <cell r="H439" t="str">
            <v>OK</v>
          </cell>
          <cell r="I439">
            <v>0.90630233157284557</v>
          </cell>
          <cell r="J439">
            <v>5521.39</v>
          </cell>
          <cell r="K439" t="str">
            <v>OK</v>
          </cell>
        </row>
        <row r="440">
          <cell r="A440" t="str">
            <v>MAT0177</v>
          </cell>
          <cell r="B440" t="str">
            <v>TOCO FF16 DN=1000MMX2,00M</v>
          </cell>
          <cell r="C440" t="str">
            <v>ud</v>
          </cell>
          <cell r="D440">
            <v>19176.86</v>
          </cell>
          <cell r="E440">
            <v>15768.59</v>
          </cell>
          <cell r="F440">
            <v>16074.5</v>
          </cell>
          <cell r="G440" t="str">
            <v>OK</v>
          </cell>
          <cell r="H440" t="str">
            <v>OK</v>
          </cell>
          <cell r="I440">
            <v>0.83822377594663566</v>
          </cell>
          <cell r="J440">
            <v>15768.59</v>
          </cell>
          <cell r="K440" t="str">
            <v>OK</v>
          </cell>
        </row>
        <row r="441">
          <cell r="A441" t="str">
            <v>MAT0178</v>
          </cell>
          <cell r="B441" t="str">
            <v>TOCO FF16 DN=800MMX1,50M</v>
          </cell>
          <cell r="C441" t="str">
            <v>ud</v>
          </cell>
          <cell r="D441">
            <v>9102.9599999999991</v>
          </cell>
          <cell r="E441">
            <v>10181.82</v>
          </cell>
          <cell r="F441">
            <v>10379.35</v>
          </cell>
          <cell r="G441" t="str">
            <v>OK</v>
          </cell>
          <cell r="H441" t="str">
            <v>OK</v>
          </cell>
          <cell r="I441">
            <v>1.1402170283072761</v>
          </cell>
          <cell r="J441">
            <v>10181.82</v>
          </cell>
          <cell r="K441" t="str">
            <v>OK</v>
          </cell>
        </row>
        <row r="442">
          <cell r="A442" t="str">
            <v>MAT0179</v>
          </cell>
          <cell r="B442" t="str">
            <v>TOCO PF16 DN=1000MMX1,50M</v>
          </cell>
          <cell r="C442" t="str">
            <v>ud</v>
          </cell>
          <cell r="D442">
            <v>12174.4</v>
          </cell>
          <cell r="E442">
            <v>10010.67</v>
          </cell>
          <cell r="F442">
            <v>10204.879999999999</v>
          </cell>
          <cell r="G442" t="str">
            <v>OK</v>
          </cell>
          <cell r="H442" t="str">
            <v>OK</v>
          </cell>
          <cell r="I442">
            <v>0.83822447102115916</v>
          </cell>
          <cell r="J442">
            <v>10010.67</v>
          </cell>
          <cell r="K442" t="str">
            <v>OK</v>
          </cell>
        </row>
        <row r="443">
          <cell r="A443" t="str">
            <v>MAT0181</v>
          </cell>
          <cell r="B443" t="str">
            <v>TOCO TFP16 DN=200MMX2,00M</v>
          </cell>
          <cell r="C443" t="str">
            <v>ud</v>
          </cell>
          <cell r="D443">
            <v>743.67</v>
          </cell>
          <cell r="E443">
            <v>792.54</v>
          </cell>
          <cell r="F443">
            <v>807.92</v>
          </cell>
          <cell r="G443" t="str">
            <v>OK</v>
          </cell>
          <cell r="H443" t="str">
            <v>OK</v>
          </cell>
          <cell r="I443">
            <v>1.0863958476205844</v>
          </cell>
          <cell r="J443">
            <v>792.54</v>
          </cell>
          <cell r="K443" t="str">
            <v>OK</v>
          </cell>
        </row>
        <row r="444">
          <cell r="A444" t="str">
            <v>MAT0182</v>
          </cell>
          <cell r="B444" t="str">
            <v>TOCO TFP16 DN=600MMX2,00M</v>
          </cell>
          <cell r="C444" t="str">
            <v>ud</v>
          </cell>
          <cell r="D444">
            <v>2602.29</v>
          </cell>
          <cell r="E444">
            <v>2524.2212999999997</v>
          </cell>
          <cell r="F444">
            <v>2573.19</v>
          </cell>
          <cell r="G444" t="str">
            <v>OK</v>
          </cell>
          <cell r="H444" t="str">
            <v>OK</v>
          </cell>
          <cell r="I444">
            <v>0.9888175414730872</v>
          </cell>
          <cell r="J444">
            <v>3265.69</v>
          </cell>
          <cell r="K444" t="str">
            <v>OK</v>
          </cell>
        </row>
        <row r="445">
          <cell r="A445" t="str">
            <v>MAT0183</v>
          </cell>
          <cell r="B445" t="str">
            <v>TOCO TFP16 DN=750MMX2,00M</v>
          </cell>
          <cell r="C445" t="str">
            <v>ud</v>
          </cell>
          <cell r="D445">
            <v>6183.39</v>
          </cell>
          <cell r="E445">
            <v>5724.45</v>
          </cell>
          <cell r="F445">
            <v>5835.5</v>
          </cell>
          <cell r="G445" t="str">
            <v>OK</v>
          </cell>
          <cell r="H445" t="str">
            <v>OK</v>
          </cell>
          <cell r="I445">
            <v>0.94373798191606861</v>
          </cell>
          <cell r="J445">
            <v>5724.45</v>
          </cell>
          <cell r="K445" t="str">
            <v>OK</v>
          </cell>
        </row>
        <row r="446">
          <cell r="A446" t="str">
            <v>MAT0184</v>
          </cell>
          <cell r="B446" t="str">
            <v>TOCO TFF16 DN=800MMX2,00M</v>
          </cell>
          <cell r="C446" t="str">
            <v>ud</v>
          </cell>
          <cell r="D446">
            <v>13990.27</v>
          </cell>
          <cell r="E446">
            <v>11503.81</v>
          </cell>
          <cell r="F446">
            <v>11726.98</v>
          </cell>
          <cell r="G446" t="str">
            <v>OK</v>
          </cell>
          <cell r="H446" t="str">
            <v>OK</v>
          </cell>
          <cell r="I446">
            <v>0.83822399424743044</v>
          </cell>
          <cell r="J446">
            <v>11503.81</v>
          </cell>
          <cell r="K446" t="str">
            <v>OK</v>
          </cell>
        </row>
        <row r="447">
          <cell r="A447" t="str">
            <v>MAT0185</v>
          </cell>
          <cell r="B447" t="str">
            <v>TUBO DE AÇO SOLDÁVEL  Ø 1000mm L= 0,33m</v>
          </cell>
          <cell r="C447" t="str">
            <v xml:space="preserve">un </v>
          </cell>
          <cell r="D447">
            <v>421.9</v>
          </cell>
          <cell r="E447">
            <v>409.24299999999999</v>
          </cell>
          <cell r="F447">
            <v>417.18</v>
          </cell>
          <cell r="G447" t="str">
            <v>OK</v>
          </cell>
          <cell r="H447" t="str">
            <v>OK</v>
          </cell>
          <cell r="I447">
            <v>0.98881251481393706</v>
          </cell>
          <cell r="J447">
            <v>529.45000000000005</v>
          </cell>
          <cell r="K447" t="str">
            <v>OK</v>
          </cell>
        </row>
        <row r="448">
          <cell r="A448" t="str">
            <v>MAT0186</v>
          </cell>
          <cell r="B448" t="str">
            <v>TUBO DE AÇO SOLDÁVEL  Ø 1000mm L= 2,00m</v>
          </cell>
          <cell r="C448" t="str">
            <v xml:space="preserve">un </v>
          </cell>
          <cell r="D448">
            <v>2565.16</v>
          </cell>
          <cell r="E448">
            <v>2488.2051999999999</v>
          </cell>
          <cell r="F448">
            <v>2536.48</v>
          </cell>
          <cell r="G448" t="str">
            <v>OK</v>
          </cell>
          <cell r="H448" t="str">
            <v>OK</v>
          </cell>
          <cell r="I448">
            <v>0.98881941087495528</v>
          </cell>
          <cell r="J448">
            <v>3219.09</v>
          </cell>
          <cell r="K448" t="str">
            <v>OK</v>
          </cell>
        </row>
        <row r="449">
          <cell r="A449" t="str">
            <v>MAT0187</v>
          </cell>
          <cell r="B449" t="str">
            <v>TUBO DE AÇO SOLDÁVEL  Ø 800mm L= 2,10m</v>
          </cell>
          <cell r="C449" t="str">
            <v xml:space="preserve">un </v>
          </cell>
          <cell r="D449">
            <v>2688.93</v>
          </cell>
          <cell r="E449">
            <v>2608.2620999999999</v>
          </cell>
          <cell r="F449">
            <v>2658.86</v>
          </cell>
          <cell r="G449" t="str">
            <v>OK</v>
          </cell>
          <cell r="H449" t="str">
            <v>OK</v>
          </cell>
          <cell r="I449">
            <v>0.98881711312678289</v>
          </cell>
          <cell r="J449">
            <v>3374.41</v>
          </cell>
          <cell r="K449" t="str">
            <v>OK</v>
          </cell>
        </row>
        <row r="450">
          <cell r="A450" t="str">
            <v>MAT0188</v>
          </cell>
          <cell r="B450" t="str">
            <v>TUBO DE AÇO SOLDÁVEL  Ø 800mm L= 2,42m</v>
          </cell>
          <cell r="C450" t="str">
            <v xml:space="preserve">un </v>
          </cell>
          <cell r="D450">
            <v>3105.2</v>
          </cell>
          <cell r="E450">
            <v>2553.3200000000002</v>
          </cell>
          <cell r="F450">
            <v>2602.85</v>
          </cell>
          <cell r="G450" t="str">
            <v>OK</v>
          </cell>
          <cell r="H450" t="str">
            <v>OK</v>
          </cell>
          <cell r="I450">
            <v>0.83822298080638935</v>
          </cell>
          <cell r="J450">
            <v>2553.3200000000002</v>
          </cell>
          <cell r="K450" t="str">
            <v>OK</v>
          </cell>
        </row>
        <row r="451">
          <cell r="A451" t="str">
            <v>MAT0189</v>
          </cell>
          <cell r="B451" t="str">
            <v>TUBO DE AÇO SOLDÁVEL  Ø 800mm L= 2,62m</v>
          </cell>
          <cell r="C451" t="str">
            <v xml:space="preserve">un </v>
          </cell>
          <cell r="D451">
            <v>3363.97</v>
          </cell>
          <cell r="E451">
            <v>3263.0508999999997</v>
          </cell>
          <cell r="F451">
            <v>3326.35</v>
          </cell>
          <cell r="G451" t="str">
            <v>OK</v>
          </cell>
          <cell r="H451" t="str">
            <v>OK</v>
          </cell>
          <cell r="I451">
            <v>0.98881678492971103</v>
          </cell>
          <cell r="J451">
            <v>4221.54</v>
          </cell>
          <cell r="K451" t="str">
            <v>OK</v>
          </cell>
        </row>
        <row r="452">
          <cell r="A452" t="str">
            <v>MAT0190</v>
          </cell>
          <cell r="B452" t="str">
            <v>TUBO DE AÇO SOLDÁVEL  Ø 800mm L= 5,80m</v>
          </cell>
          <cell r="C452" t="str">
            <v xml:space="preserve">un </v>
          </cell>
          <cell r="D452">
            <v>7436.73</v>
          </cell>
          <cell r="E452">
            <v>7213.628099999999</v>
          </cell>
          <cell r="F452">
            <v>7353.57</v>
          </cell>
          <cell r="G452" t="str">
            <v>OK</v>
          </cell>
          <cell r="H452" t="str">
            <v>OK</v>
          </cell>
          <cell r="I452">
            <v>0.98881766582893293</v>
          </cell>
          <cell r="J452">
            <v>9332.5499999999993</v>
          </cell>
          <cell r="K452" t="str">
            <v>OK</v>
          </cell>
        </row>
        <row r="453">
          <cell r="A453" t="str">
            <v>MAT0191</v>
          </cell>
          <cell r="B453" t="str">
            <v>TUBO DE AÇO SOLDÁVEL  Ø 800mm L= 5.00m</v>
          </cell>
          <cell r="C453" t="str">
            <v xml:space="preserve">un </v>
          </cell>
          <cell r="D453">
            <v>6412.91</v>
          </cell>
          <cell r="E453">
            <v>6220.5226999999995</v>
          </cell>
          <cell r="F453">
            <v>6341.2</v>
          </cell>
          <cell r="G453" t="str">
            <v>OK</v>
          </cell>
          <cell r="H453" t="str">
            <v>OK</v>
          </cell>
          <cell r="I453">
            <v>0.98881786895496737</v>
          </cell>
          <cell r="J453">
            <v>8047.74</v>
          </cell>
          <cell r="K453" t="str">
            <v>OK</v>
          </cell>
        </row>
        <row r="454">
          <cell r="A454" t="str">
            <v>MAT0192</v>
          </cell>
          <cell r="B454" t="str">
            <v xml:space="preserve">TUBO DE AÇO SOLDÁVEL DN 600mm COM 0,75m DE COMPRIMENTO </v>
          </cell>
          <cell r="C454" t="str">
            <v>ud</v>
          </cell>
          <cell r="D454">
            <v>939.43</v>
          </cell>
          <cell r="E454">
            <v>925.96</v>
          </cell>
          <cell r="F454">
            <v>943.92</v>
          </cell>
          <cell r="G454" t="str">
            <v>OK</v>
          </cell>
          <cell r="H454" t="str">
            <v>OK</v>
          </cell>
          <cell r="I454">
            <v>1.0047794939484582</v>
          </cell>
          <cell r="J454">
            <v>925.96</v>
          </cell>
          <cell r="K454" t="str">
            <v>OK</v>
          </cell>
        </row>
        <row r="455">
          <cell r="A455" t="str">
            <v>MAT0193</v>
          </cell>
          <cell r="B455" t="str">
            <v xml:space="preserve">TUBO DE AÇO SOLDÁVEL DN 600mm COM 1,20m DE COMPRIMENTO </v>
          </cell>
          <cell r="C455" t="str">
            <v>ud</v>
          </cell>
          <cell r="D455">
            <v>1408.59</v>
          </cell>
          <cell r="E455">
            <v>1481.53</v>
          </cell>
          <cell r="F455">
            <v>1510.27</v>
          </cell>
          <cell r="G455" t="str">
            <v>OK</v>
          </cell>
          <cell r="H455" t="str">
            <v>OK</v>
          </cell>
          <cell r="I455">
            <v>1.0721856608381433</v>
          </cell>
          <cell r="J455">
            <v>1481.53</v>
          </cell>
          <cell r="K455" t="str">
            <v>OK</v>
          </cell>
        </row>
        <row r="456">
          <cell r="A456" t="str">
            <v>MAT0194</v>
          </cell>
          <cell r="B456" t="str">
            <v xml:space="preserve">TUBO DE AÇO SOLDÁVEL DN 600mm COM 2,35m DE COMPRIMENTO </v>
          </cell>
          <cell r="C456" t="str">
            <v>ud</v>
          </cell>
          <cell r="D456">
            <v>3154.71</v>
          </cell>
          <cell r="E456">
            <v>2901.36</v>
          </cell>
          <cell r="F456">
            <v>2957.65</v>
          </cell>
          <cell r="G456" t="str">
            <v>OK</v>
          </cell>
          <cell r="H456" t="str">
            <v>OK</v>
          </cell>
          <cell r="I456">
            <v>0.93753467038174665</v>
          </cell>
          <cell r="J456">
            <v>2901.36</v>
          </cell>
          <cell r="K456" t="str">
            <v>OK</v>
          </cell>
        </row>
        <row r="457">
          <cell r="A457" t="str">
            <v>MAT0195</v>
          </cell>
          <cell r="B457" t="str">
            <v xml:space="preserve">TUBO DE AÇO SOLDÁVEL DN 600mm COM 3,65m DE COMPRIMENTO </v>
          </cell>
          <cell r="C457" t="str">
            <v>ud</v>
          </cell>
          <cell r="D457">
            <v>3802.74</v>
          </cell>
          <cell r="E457">
            <v>3802.74</v>
          </cell>
          <cell r="F457">
            <v>4506.37</v>
          </cell>
          <cell r="G457" t="str">
            <v>OK</v>
          </cell>
          <cell r="H457" t="str">
            <v>OK</v>
          </cell>
          <cell r="I457">
            <v>1.1850323713953623</v>
          </cell>
          <cell r="J457">
            <v>4506.37</v>
          </cell>
          <cell r="K457" t="str">
            <v>B</v>
          </cell>
        </row>
        <row r="458">
          <cell r="A458" t="str">
            <v>MAT0196</v>
          </cell>
          <cell r="B458" t="str">
            <v>TUBO DE FERRO DÚCTIL TK7JGS DN=1000mm QUE ATENDA AS NORMAS TÉCNICAS BRASILEIRA EM VIGOR.</v>
          </cell>
          <cell r="C458" t="str">
            <v>m</v>
          </cell>
          <cell r="D458">
            <v>1299.46</v>
          </cell>
          <cell r="E458">
            <v>1299.46</v>
          </cell>
          <cell r="F458">
            <v>1598.33</v>
          </cell>
          <cell r="G458" t="str">
            <v>OK</v>
          </cell>
          <cell r="H458" t="str">
            <v>OK</v>
          </cell>
          <cell r="I458">
            <v>1.2299955366075137</v>
          </cell>
          <cell r="J458">
            <v>1865.64</v>
          </cell>
          <cell r="K458" t="str">
            <v>B</v>
          </cell>
        </row>
        <row r="459">
          <cell r="A459" t="str">
            <v>MAT0197</v>
          </cell>
          <cell r="B459" t="str">
            <v>TUBO DE FERRO DÚCTIL TK7JGS DN=600mm QUE ATENDA AS NORMAS TÉCNICAS BRASILEIRA EM VIGOR.</v>
          </cell>
          <cell r="C459" t="str">
            <v>m</v>
          </cell>
          <cell r="D459">
            <v>608.66</v>
          </cell>
          <cell r="E459">
            <v>608.66</v>
          </cell>
          <cell r="F459">
            <v>745.6</v>
          </cell>
          <cell r="G459" t="str">
            <v>OK</v>
          </cell>
          <cell r="H459" t="str">
            <v>OK</v>
          </cell>
          <cell r="I459">
            <v>1.2249860348963297</v>
          </cell>
          <cell r="J459">
            <v>879.54</v>
          </cell>
          <cell r="K459" t="str">
            <v>B</v>
          </cell>
        </row>
        <row r="460">
          <cell r="A460" t="str">
            <v>MAT0198</v>
          </cell>
          <cell r="B460" t="str">
            <v>TUBO DE FERRO DÚCTIL TK7JGS DN=700mm QUE ATENDA AS NORMAS TÉCNICAS BRASILEIRA EM VIGOR.</v>
          </cell>
          <cell r="C460" t="str">
            <v>m</v>
          </cell>
          <cell r="D460">
            <v>774.05</v>
          </cell>
          <cell r="E460">
            <v>774.05</v>
          </cell>
          <cell r="F460">
            <v>951.3</v>
          </cell>
          <cell r="G460" t="str">
            <v>OK</v>
          </cell>
          <cell r="H460" t="str">
            <v>OK</v>
          </cell>
          <cell r="I460">
            <v>1.2289903752987534</v>
          </cell>
          <cell r="J460">
            <v>1118.52</v>
          </cell>
          <cell r="K460" t="str">
            <v>B</v>
          </cell>
        </row>
        <row r="461">
          <cell r="A461" t="str">
            <v>MAT0199</v>
          </cell>
          <cell r="B461" t="str">
            <v>TUBO DE FERRO DÚCTIL TK7JGS DN=800mm QUE ATENDA AS NORMAS TÉCNICAS BRASILEIRA EM VIGOR.</v>
          </cell>
          <cell r="C461" t="str">
            <v>m</v>
          </cell>
          <cell r="D461">
            <v>933.81</v>
          </cell>
          <cell r="E461">
            <v>905.7956999999999</v>
          </cell>
          <cell r="F461">
            <v>923.37</v>
          </cell>
          <cell r="G461" t="str">
            <v>OK</v>
          </cell>
          <cell r="H461" t="str">
            <v>OK</v>
          </cell>
          <cell r="I461">
            <v>0.98881999550229716</v>
          </cell>
          <cell r="J461">
            <v>1348.3</v>
          </cell>
          <cell r="K461" t="str">
            <v>OK</v>
          </cell>
        </row>
        <row r="462">
          <cell r="A462" t="str">
            <v>MAT0200</v>
          </cell>
          <cell r="B462" t="str">
            <v>TUBO DE PVC RÍGIDO ROSCÁVEL DN 75mm COM 3,15m DE COMPRIMENTO COM FUROS DE 1/2" CONFORME PROJETO</v>
          </cell>
          <cell r="C462" t="str">
            <v>ud</v>
          </cell>
          <cell r="D462">
            <v>18.649999999999999</v>
          </cell>
          <cell r="E462">
            <v>20</v>
          </cell>
          <cell r="F462">
            <v>20.39</v>
          </cell>
          <cell r="G462" t="str">
            <v>OK</v>
          </cell>
          <cell r="H462" t="str">
            <v>OK</v>
          </cell>
          <cell r="I462">
            <v>1.0932975871313675</v>
          </cell>
          <cell r="J462">
            <v>20</v>
          </cell>
          <cell r="K462" t="str">
            <v>OK</v>
          </cell>
        </row>
        <row r="463">
          <cell r="A463" t="str">
            <v>MAT0201</v>
          </cell>
          <cell r="B463" t="str">
            <v>TUBO EM AÇO CARBONO SEM COSTURA SCH 40 DN 600 PONTA COM 5,80M DE COMPRIMENTO</v>
          </cell>
          <cell r="C463" t="str">
            <v>ud</v>
          </cell>
          <cell r="D463">
            <v>5962.88</v>
          </cell>
          <cell r="E463">
            <v>5783.9935999999998</v>
          </cell>
          <cell r="F463">
            <v>5896.2</v>
          </cell>
          <cell r="G463" t="str">
            <v>OK</v>
          </cell>
          <cell r="H463" t="str">
            <v>OK</v>
          </cell>
          <cell r="I463">
            <v>0.98881748416872384</v>
          </cell>
          <cell r="J463">
            <v>7482.98</v>
          </cell>
          <cell r="K463" t="str">
            <v>OK</v>
          </cell>
        </row>
        <row r="464">
          <cell r="A464" t="str">
            <v>MAT0202</v>
          </cell>
          <cell r="B464" t="str">
            <v>Tubo em PVC rígido roscável; DN = 2"; L = 6,0 m</v>
          </cell>
          <cell r="C464" t="str">
            <v>ud</v>
          </cell>
          <cell r="D464">
            <v>172.88</v>
          </cell>
          <cell r="E464">
            <v>142.16</v>
          </cell>
          <cell r="F464">
            <v>144.91999999999999</v>
          </cell>
          <cell r="G464" t="str">
            <v>OK</v>
          </cell>
          <cell r="H464" t="str">
            <v>OK</v>
          </cell>
          <cell r="I464">
            <v>0.83826931975937058</v>
          </cell>
          <cell r="J464">
            <v>142.16</v>
          </cell>
          <cell r="K464" t="str">
            <v>OK</v>
          </cell>
        </row>
        <row r="465">
          <cell r="A465" t="str">
            <v>MAT0203</v>
          </cell>
          <cell r="B465" t="str">
            <v>Tubo em PVC soldável; DN = 4"; L = 6,0 m</v>
          </cell>
          <cell r="C465" t="str">
            <v>ud</v>
          </cell>
          <cell r="D465">
            <v>206.07</v>
          </cell>
          <cell r="E465">
            <v>169.44</v>
          </cell>
          <cell r="F465">
            <v>172.73</v>
          </cell>
          <cell r="G465" t="str">
            <v>OK</v>
          </cell>
          <cell r="H465" t="str">
            <v>OK</v>
          </cell>
          <cell r="I465">
            <v>0.83821031688261272</v>
          </cell>
          <cell r="J465">
            <v>169.44</v>
          </cell>
          <cell r="K465" t="str">
            <v>OK</v>
          </cell>
        </row>
        <row r="466">
          <cell r="A466" t="str">
            <v>MAT0204</v>
          </cell>
          <cell r="B466" t="str">
            <v>TUBO EM PVC PARA ESGOTAMENTO SANITÁRIO CONFORME NORMA 7362 DN = 300 mm; L = 1,05 m</v>
          </cell>
          <cell r="C466" t="str">
            <v>ud</v>
          </cell>
          <cell r="D466">
            <v>160.21</v>
          </cell>
          <cell r="E466">
            <v>131.74</v>
          </cell>
          <cell r="F466">
            <v>134.30000000000001</v>
          </cell>
          <cell r="G466" t="str">
            <v>OK</v>
          </cell>
          <cell r="H466" t="str">
            <v>OK</v>
          </cell>
          <cell r="I466">
            <v>0.83827476437176207</v>
          </cell>
          <cell r="J466">
            <v>131.74</v>
          </cell>
          <cell r="K466" t="str">
            <v>OK</v>
          </cell>
        </row>
        <row r="467">
          <cell r="A467" t="str">
            <v>MAT0205</v>
          </cell>
          <cell r="B467" t="str">
            <v>TUBO FERRO FUNDIDO  FLANGE E PONTA Ø 150mm L= 2,50m</v>
          </cell>
          <cell r="C467" t="str">
            <v>un</v>
          </cell>
          <cell r="D467">
            <v>461.28</v>
          </cell>
          <cell r="E467">
            <v>447.44159999999994</v>
          </cell>
          <cell r="F467">
            <v>456.12</v>
          </cell>
          <cell r="G467" t="str">
            <v>OK</v>
          </cell>
          <cell r="H467" t="str">
            <v>OK</v>
          </cell>
          <cell r="I467">
            <v>0.98881373569198761</v>
          </cell>
          <cell r="J467">
            <v>578.88</v>
          </cell>
          <cell r="K467" t="str">
            <v>OK</v>
          </cell>
        </row>
        <row r="468">
          <cell r="A468" t="str">
            <v>MAT0206</v>
          </cell>
          <cell r="B468" t="str">
            <v>TUBO FF16 DN=600MMX0,70M</v>
          </cell>
          <cell r="C468" t="str">
            <v>ud</v>
          </cell>
          <cell r="D468">
            <v>3451.72</v>
          </cell>
          <cell r="E468">
            <v>3737.31</v>
          </cell>
          <cell r="F468">
            <v>3809.81</v>
          </cell>
          <cell r="G468" t="str">
            <v>OK</v>
          </cell>
          <cell r="H468" t="str">
            <v>OK</v>
          </cell>
          <cell r="I468">
            <v>1.1037424820089694</v>
          </cell>
          <cell r="J468">
            <v>3737.31</v>
          </cell>
          <cell r="K468" t="str">
            <v>OK</v>
          </cell>
        </row>
        <row r="469">
          <cell r="A469" t="str">
            <v>MAT0207</v>
          </cell>
          <cell r="B469" t="str">
            <v>TUBO FF16 DN=800MMX1,80M</v>
          </cell>
          <cell r="C469" t="str">
            <v>ud</v>
          </cell>
          <cell r="D469">
            <v>9102.9599999999991</v>
          </cell>
          <cell r="E469">
            <v>8271.11</v>
          </cell>
          <cell r="F469">
            <v>8431.57</v>
          </cell>
          <cell r="G469" t="str">
            <v>OK</v>
          </cell>
          <cell r="H469" t="str">
            <v>OK</v>
          </cell>
          <cell r="I469">
            <v>0.9262448698005924</v>
          </cell>
          <cell r="J469">
            <v>8271.11</v>
          </cell>
          <cell r="K469" t="str">
            <v>OK</v>
          </cell>
        </row>
        <row r="470">
          <cell r="A470" t="str">
            <v>MAT0208</v>
          </cell>
          <cell r="B470" t="str">
            <v>TUBO FF16 DN=800MMX2,30M</v>
          </cell>
          <cell r="C470" t="str">
            <v>ud</v>
          </cell>
          <cell r="D470">
            <v>13990.27</v>
          </cell>
          <cell r="E470">
            <v>11503.81</v>
          </cell>
          <cell r="F470">
            <v>11726.98</v>
          </cell>
          <cell r="G470" t="str">
            <v>OK</v>
          </cell>
          <cell r="H470" t="str">
            <v>OK</v>
          </cell>
          <cell r="I470">
            <v>0.83822399424743044</v>
          </cell>
          <cell r="J470">
            <v>11503.81</v>
          </cell>
          <cell r="K470" t="str">
            <v>OK</v>
          </cell>
        </row>
        <row r="471">
          <cell r="A471" t="str">
            <v>MAT0209</v>
          </cell>
          <cell r="B471" t="str">
            <v>TUBO FF16 DN=800MMX3,00M</v>
          </cell>
          <cell r="C471" t="str">
            <v>ud</v>
          </cell>
          <cell r="D471">
            <v>13990.27</v>
          </cell>
          <cell r="E471">
            <v>12125.3</v>
          </cell>
          <cell r="F471">
            <v>12360.53</v>
          </cell>
          <cell r="G471" t="str">
            <v>OK</v>
          </cell>
          <cell r="H471" t="str">
            <v>OK</v>
          </cell>
          <cell r="I471">
            <v>0.88350903878195353</v>
          </cell>
          <cell r="J471">
            <v>12125.3</v>
          </cell>
          <cell r="K471" t="str">
            <v>OK</v>
          </cell>
        </row>
        <row r="472">
          <cell r="A472" t="str">
            <v>MAT0210</v>
          </cell>
          <cell r="B472" t="str">
            <v>Tubo flexível em cobre de d = 3/8"; L = 2,20 m com roscas NPT</v>
          </cell>
          <cell r="C472" t="str">
            <v>ud</v>
          </cell>
          <cell r="D472">
            <v>264.39</v>
          </cell>
          <cell r="E472">
            <v>256.45829999999995</v>
          </cell>
          <cell r="F472">
            <v>261.43</v>
          </cell>
          <cell r="G472" t="str">
            <v>OK</v>
          </cell>
          <cell r="H472" t="str">
            <v>OK</v>
          </cell>
          <cell r="I472">
            <v>0.9888044177162526</v>
          </cell>
          <cell r="J472">
            <v>331.8</v>
          </cell>
          <cell r="K472" t="str">
            <v>OK</v>
          </cell>
        </row>
        <row r="473">
          <cell r="A473" t="str">
            <v>MAT0211</v>
          </cell>
          <cell r="B473" t="str">
            <v>TUBO PF16 DN=800MMX0,40M</v>
          </cell>
          <cell r="C473" t="str">
            <v>ud</v>
          </cell>
          <cell r="D473">
            <v>4819.8100000000004</v>
          </cell>
          <cell r="E473">
            <v>3963.2</v>
          </cell>
          <cell r="F473">
            <v>4040.09</v>
          </cell>
          <cell r="G473" t="str">
            <v>OK</v>
          </cell>
          <cell r="H473" t="str">
            <v>OK</v>
          </cell>
          <cell r="I473">
            <v>0.83822598816135907</v>
          </cell>
          <cell r="J473">
            <v>3963.2</v>
          </cell>
          <cell r="K473" t="str">
            <v>OK</v>
          </cell>
        </row>
        <row r="474">
          <cell r="A474" t="str">
            <v>MAT0212</v>
          </cell>
          <cell r="B474" t="str">
            <v>TUBO PF16 DN=800MMX0,50M</v>
          </cell>
          <cell r="C474" t="str">
            <v>ud</v>
          </cell>
          <cell r="D474">
            <v>4819.8100000000004</v>
          </cell>
          <cell r="E474">
            <v>3963.2</v>
          </cell>
          <cell r="F474">
            <v>4040.09</v>
          </cell>
          <cell r="G474" t="str">
            <v>OK</v>
          </cell>
          <cell r="H474" t="str">
            <v>OK</v>
          </cell>
          <cell r="I474">
            <v>0.83822598816135907</v>
          </cell>
          <cell r="J474">
            <v>3963.2</v>
          </cell>
          <cell r="K474" t="str">
            <v>OK</v>
          </cell>
        </row>
        <row r="475">
          <cell r="A475" t="str">
            <v>MAT0213</v>
          </cell>
          <cell r="B475" t="str">
            <v>TUBO PF16 DN=800MMX0,58M</v>
          </cell>
          <cell r="C475" t="str">
            <v>ud</v>
          </cell>
          <cell r="D475">
            <v>4819.8100000000004</v>
          </cell>
          <cell r="E475">
            <v>3963.2</v>
          </cell>
          <cell r="F475">
            <v>4040.09</v>
          </cell>
          <cell r="G475" t="str">
            <v>OK</v>
          </cell>
          <cell r="H475" t="str">
            <v>OK</v>
          </cell>
          <cell r="I475">
            <v>0.83822598816135907</v>
          </cell>
          <cell r="J475">
            <v>3963.2</v>
          </cell>
          <cell r="K475" t="str">
            <v>OK</v>
          </cell>
        </row>
        <row r="476">
          <cell r="A476" t="str">
            <v>MAT0214</v>
          </cell>
          <cell r="B476" t="str">
            <v>TUBO PF16 DN=800MMX0,73M</v>
          </cell>
          <cell r="C476" t="str">
            <v>ud</v>
          </cell>
          <cell r="D476">
            <v>4819.8100000000004</v>
          </cell>
          <cell r="E476">
            <v>4223.0200000000004</v>
          </cell>
          <cell r="F476">
            <v>4304.95</v>
          </cell>
          <cell r="G476" t="str">
            <v>OK</v>
          </cell>
          <cell r="H476" t="str">
            <v>OK</v>
          </cell>
          <cell r="I476">
            <v>0.89317836180264354</v>
          </cell>
          <cell r="J476">
            <v>4223.0200000000004</v>
          </cell>
          <cell r="K476" t="str">
            <v>OK</v>
          </cell>
        </row>
        <row r="477">
          <cell r="A477" t="str">
            <v>MAT0215</v>
          </cell>
          <cell r="B477" t="str">
            <v>TUBO PF16 DN=800MMX0,94M</v>
          </cell>
          <cell r="C477" t="str">
            <v>ud</v>
          </cell>
          <cell r="D477">
            <v>6138.39</v>
          </cell>
          <cell r="E477">
            <v>5047.42</v>
          </cell>
          <cell r="F477">
            <v>5145.34</v>
          </cell>
          <cell r="G477" t="str">
            <v>OK</v>
          </cell>
          <cell r="H477" t="str">
            <v>OK</v>
          </cell>
          <cell r="I477">
            <v>0.83822305197291147</v>
          </cell>
          <cell r="J477">
            <v>5047.42</v>
          </cell>
          <cell r="K477" t="str">
            <v>OK</v>
          </cell>
        </row>
        <row r="478">
          <cell r="A478" t="str">
            <v>MAT0216</v>
          </cell>
          <cell r="B478" t="str">
            <v>TUBO PF16 DN=800MMX1,00M</v>
          </cell>
          <cell r="C478" t="str">
            <v>ud</v>
          </cell>
          <cell r="D478">
            <v>6138.39</v>
          </cell>
          <cell r="E478">
            <v>5047.42</v>
          </cell>
          <cell r="F478">
            <v>5145.34</v>
          </cell>
          <cell r="G478" t="str">
            <v>OK</v>
          </cell>
          <cell r="H478" t="str">
            <v>OK</v>
          </cell>
          <cell r="I478">
            <v>0.83822305197291147</v>
          </cell>
          <cell r="J478">
            <v>5047.42</v>
          </cell>
          <cell r="K478" t="str">
            <v>OK</v>
          </cell>
        </row>
        <row r="479">
          <cell r="A479" t="str">
            <v>MAT0217</v>
          </cell>
          <cell r="B479" t="str">
            <v>TUBO PF16 DN=800MMX1,20M</v>
          </cell>
          <cell r="C479" t="str">
            <v>ud</v>
          </cell>
          <cell r="D479">
            <v>7468.23</v>
          </cell>
          <cell r="E479">
            <v>6140.91</v>
          </cell>
          <cell r="F479">
            <v>6260.04</v>
          </cell>
          <cell r="G479" t="str">
            <v>OK</v>
          </cell>
          <cell r="H479" t="str">
            <v>OK</v>
          </cell>
          <cell r="I479">
            <v>0.83822271140551385</v>
          </cell>
          <cell r="J479">
            <v>6140.91</v>
          </cell>
          <cell r="K479" t="str">
            <v>OK</v>
          </cell>
        </row>
        <row r="480">
          <cell r="A480" t="str">
            <v>MAT0218</v>
          </cell>
          <cell r="B480" t="str">
            <v>TUBO PF16 DN=800MMX1,22M</v>
          </cell>
          <cell r="C480" t="str">
            <v>ud</v>
          </cell>
          <cell r="D480">
            <v>7468.23</v>
          </cell>
          <cell r="E480">
            <v>6140.91</v>
          </cell>
          <cell r="F480">
            <v>6260.04</v>
          </cell>
          <cell r="G480" t="str">
            <v>OK</v>
          </cell>
          <cell r="H480" t="str">
            <v>OK</v>
          </cell>
          <cell r="I480">
            <v>0.83822271140551385</v>
          </cell>
          <cell r="J480">
            <v>6140.91</v>
          </cell>
          <cell r="K480" t="str">
            <v>OK</v>
          </cell>
        </row>
        <row r="481">
          <cell r="A481" t="str">
            <v>MAT0219</v>
          </cell>
          <cell r="B481" t="str">
            <v>TUBO PF16 DN=800MMX1,51M</v>
          </cell>
          <cell r="C481" t="str">
            <v>ud</v>
          </cell>
          <cell r="D481">
            <v>9102.9599999999991</v>
          </cell>
          <cell r="E481">
            <v>7485.11</v>
          </cell>
          <cell r="F481">
            <v>7630.32</v>
          </cell>
          <cell r="G481" t="str">
            <v>OK</v>
          </cell>
          <cell r="H481" t="str">
            <v>OK</v>
          </cell>
          <cell r="I481">
            <v>0.83822405019905621</v>
          </cell>
          <cell r="J481">
            <v>7485.11</v>
          </cell>
          <cell r="K481" t="str">
            <v>OK</v>
          </cell>
        </row>
        <row r="482">
          <cell r="A482" t="str">
            <v>MAT0220</v>
          </cell>
          <cell r="B482" t="str">
            <v>TUBO PF16 DN=800MMX1,56M</v>
          </cell>
          <cell r="C482" t="str">
            <v>ud</v>
          </cell>
          <cell r="D482">
            <v>9102.9599999999991</v>
          </cell>
          <cell r="E482">
            <v>7485.11</v>
          </cell>
          <cell r="F482">
            <v>7630.32</v>
          </cell>
          <cell r="G482" t="str">
            <v>OK</v>
          </cell>
          <cell r="H482" t="str">
            <v>OK</v>
          </cell>
          <cell r="I482">
            <v>0.83822405019905621</v>
          </cell>
          <cell r="J482">
            <v>7485.11</v>
          </cell>
          <cell r="K482" t="str">
            <v>OK</v>
          </cell>
        </row>
        <row r="483">
          <cell r="A483" t="str">
            <v>MAT0221</v>
          </cell>
          <cell r="B483" t="str">
            <v>TUBO PF16 DN=800MMX2,00M</v>
          </cell>
          <cell r="C483" t="str">
            <v>ud</v>
          </cell>
          <cell r="D483">
            <v>8840.82</v>
          </cell>
          <cell r="E483">
            <v>7485.11</v>
          </cell>
          <cell r="F483">
            <v>7630.32</v>
          </cell>
          <cell r="G483" t="str">
            <v>OK</v>
          </cell>
          <cell r="H483" t="str">
            <v>OK</v>
          </cell>
          <cell r="I483">
            <v>0.86307831174031369</v>
          </cell>
          <cell r="J483">
            <v>7485.11</v>
          </cell>
          <cell r="K483" t="str">
            <v>OK</v>
          </cell>
        </row>
        <row r="484">
          <cell r="A484" t="str">
            <v>MAT0222</v>
          </cell>
          <cell r="B484" t="str">
            <v>TUBO PF16 DN=800MMX3,00M</v>
          </cell>
          <cell r="C484" t="str">
            <v>ud</v>
          </cell>
          <cell r="D484">
            <v>9102.9599999999991</v>
          </cell>
          <cell r="E484">
            <v>8617.73</v>
          </cell>
          <cell r="F484">
            <v>8784.91</v>
          </cell>
          <cell r="G484" t="str">
            <v>OK</v>
          </cell>
          <cell r="H484" t="str">
            <v>OK</v>
          </cell>
          <cell r="I484">
            <v>0.96506081538312816</v>
          </cell>
          <cell r="J484">
            <v>8617.73</v>
          </cell>
          <cell r="K484" t="str">
            <v>OK</v>
          </cell>
        </row>
        <row r="485">
          <cell r="A485" t="str">
            <v>MAT0223</v>
          </cell>
          <cell r="B485" t="str">
            <v>Turbidímetro, aparelhos para determinação de cor e turbidez, potenciômetro, aparelho de JAR-TESTE, instalação de ponto de coleta de água bruta, decantada, filtrada e tratada no laboratório, vidraria completa e produtos químicos.</v>
          </cell>
          <cell r="C485" t="str">
            <v>ud</v>
          </cell>
          <cell r="D485">
            <v>77433.31</v>
          </cell>
          <cell r="E485">
            <v>77433.31</v>
          </cell>
          <cell r="F485">
            <v>78935.520000000004</v>
          </cell>
          <cell r="G485" t="str">
            <v>OK</v>
          </cell>
          <cell r="H485" t="str">
            <v>OK</v>
          </cell>
          <cell r="I485">
            <v>1.0194000488936867</v>
          </cell>
          <cell r="J485">
            <v>53492.21</v>
          </cell>
          <cell r="K485" t="str">
            <v>OK</v>
          </cell>
        </row>
        <row r="486">
          <cell r="A486" t="str">
            <v>MAT0224</v>
          </cell>
          <cell r="B486" t="str">
            <v>União em PVC soldável; DN =4"</v>
          </cell>
          <cell r="C486" t="str">
            <v>ud</v>
          </cell>
          <cell r="D486">
            <v>220.8</v>
          </cell>
          <cell r="E486">
            <v>227.04</v>
          </cell>
          <cell r="F486">
            <v>231.44</v>
          </cell>
          <cell r="G486" t="str">
            <v>OK</v>
          </cell>
          <cell r="H486" t="str">
            <v>OK</v>
          </cell>
          <cell r="I486">
            <v>1.0481884057971014</v>
          </cell>
          <cell r="J486">
            <v>227.04</v>
          </cell>
          <cell r="K486" t="str">
            <v>OK</v>
          </cell>
        </row>
        <row r="487">
          <cell r="A487" t="str">
            <v>MAT0225</v>
          </cell>
          <cell r="B487" t="str">
            <v xml:space="preserve">VÁLVULA BORBOLETA COM AR COMPRIMIDO DN 400mm </v>
          </cell>
          <cell r="C487" t="str">
            <v>ud</v>
          </cell>
          <cell r="D487">
            <v>2223.14</v>
          </cell>
          <cell r="E487">
            <v>2156.4458</v>
          </cell>
          <cell r="F487">
            <v>2198.2800000000002</v>
          </cell>
          <cell r="G487" t="str">
            <v>OK</v>
          </cell>
          <cell r="H487" t="str">
            <v>OK</v>
          </cell>
          <cell r="I487">
            <v>0.98881761832363246</v>
          </cell>
          <cell r="J487">
            <v>2789.88</v>
          </cell>
          <cell r="K487" t="str">
            <v>OK</v>
          </cell>
        </row>
        <row r="488">
          <cell r="A488" t="str">
            <v>MAT0226</v>
          </cell>
          <cell r="B488" t="str">
            <v xml:space="preserve">VÁLVULA BORBOLETA COM AR COMPRIMIDO DN 500mm </v>
          </cell>
          <cell r="C488" t="str">
            <v>ud</v>
          </cell>
          <cell r="D488">
            <v>3879.25</v>
          </cell>
          <cell r="E488">
            <v>3879.25</v>
          </cell>
          <cell r="F488">
            <v>4806.3900000000003</v>
          </cell>
          <cell r="G488" t="str">
            <v>OK</v>
          </cell>
          <cell r="H488" t="str">
            <v>OK</v>
          </cell>
          <cell r="I488">
            <v>1.2389998066636594</v>
          </cell>
          <cell r="J488">
            <v>4868.17</v>
          </cell>
          <cell r="K488" t="str">
            <v>B</v>
          </cell>
        </row>
        <row r="489">
          <cell r="A489" t="str">
            <v>MAT0227</v>
          </cell>
          <cell r="B489" t="str">
            <v>VÁLVULA BORBOLETA VBFW PN16 DN=1000MM</v>
          </cell>
          <cell r="C489" t="str">
            <v>ud</v>
          </cell>
          <cell r="D489">
            <v>46981.89</v>
          </cell>
          <cell r="E489">
            <v>46981.89</v>
          </cell>
          <cell r="F489">
            <v>57787.72</v>
          </cell>
          <cell r="G489" t="str">
            <v>OK</v>
          </cell>
          <cell r="H489" t="str">
            <v>OK</v>
          </cell>
          <cell r="I489">
            <v>1.2299998999614532</v>
          </cell>
          <cell r="J489">
            <v>67616.75</v>
          </cell>
          <cell r="K489" t="str">
            <v>B</v>
          </cell>
        </row>
        <row r="490">
          <cell r="A490" t="str">
            <v>MAT0228</v>
          </cell>
          <cell r="B490" t="str">
            <v>VÁLVULA BORBOLETA VBFW PN16 DN=600MM</v>
          </cell>
          <cell r="C490" t="str">
            <v>ud</v>
          </cell>
          <cell r="D490">
            <v>18226.169999999998</v>
          </cell>
          <cell r="E490">
            <v>18226.169999999998</v>
          </cell>
          <cell r="F490">
            <v>22327.05</v>
          </cell>
          <cell r="G490" t="str">
            <v>OK</v>
          </cell>
          <cell r="H490" t="str">
            <v>OK</v>
          </cell>
          <cell r="I490">
            <v>1.2249995473541617</v>
          </cell>
          <cell r="J490">
            <v>26273.74</v>
          </cell>
          <cell r="K490" t="str">
            <v>B</v>
          </cell>
        </row>
        <row r="491">
          <cell r="A491" t="str">
            <v>MAT0229</v>
          </cell>
          <cell r="B491" t="str">
            <v>VÁLVULA BORBOLETA VBFW PN16 DN=700MM</v>
          </cell>
          <cell r="C491" t="str">
            <v>ud</v>
          </cell>
          <cell r="D491">
            <v>25982.41</v>
          </cell>
          <cell r="E491">
            <v>25982.41</v>
          </cell>
          <cell r="F491">
            <v>31932.38</v>
          </cell>
          <cell r="G491" t="str">
            <v>OK</v>
          </cell>
          <cell r="H491" t="str">
            <v>OK</v>
          </cell>
          <cell r="I491">
            <v>1.22899992725848</v>
          </cell>
          <cell r="J491">
            <v>37545.51</v>
          </cell>
          <cell r="K491" t="str">
            <v>B</v>
          </cell>
        </row>
        <row r="492">
          <cell r="A492" t="str">
            <v>MAT0230</v>
          </cell>
          <cell r="B492" t="str">
            <v>VÁLVULA BORBOLETA VBFW PN16 DN=800MM</v>
          </cell>
          <cell r="C492" t="str">
            <v>ud</v>
          </cell>
          <cell r="D492">
            <v>32387.45</v>
          </cell>
          <cell r="E492">
            <v>31415.826499999999</v>
          </cell>
          <cell r="F492">
            <v>32025.29</v>
          </cell>
          <cell r="G492" t="str">
            <v>OK</v>
          </cell>
          <cell r="H492" t="str">
            <v>OK</v>
          </cell>
          <cell r="I492">
            <v>0.98881789088057259</v>
          </cell>
          <cell r="J492">
            <v>46634.95</v>
          </cell>
          <cell r="K492" t="str">
            <v>OK</v>
          </cell>
        </row>
        <row r="493">
          <cell r="A493" t="str">
            <v>MAT0231</v>
          </cell>
          <cell r="B493" t="str">
            <v>VÁLVULA DE RETENÇÃO FLANGEADA DUPLA PORTINHOLA PN16 DN=600MM</v>
          </cell>
          <cell r="C493" t="str">
            <v>ud</v>
          </cell>
          <cell r="D493">
            <v>18226.169999999998</v>
          </cell>
          <cell r="E493">
            <v>14986.87</v>
          </cell>
          <cell r="F493">
            <v>15277.62</v>
          </cell>
          <cell r="G493" t="str">
            <v>OK</v>
          </cell>
          <cell r="H493" t="str">
            <v>OK</v>
          </cell>
          <cell r="I493">
            <v>0.8382243773650746</v>
          </cell>
          <cell r="J493">
            <v>14986.87</v>
          </cell>
          <cell r="K493" t="str">
            <v>OK</v>
          </cell>
        </row>
        <row r="494">
          <cell r="A494" t="str">
            <v>MAT0232</v>
          </cell>
          <cell r="B494" t="str">
            <v>Válvula tipo esfera em aço inoxidável; d = 3/4"</v>
          </cell>
          <cell r="C494" t="str">
            <v>ud</v>
          </cell>
          <cell r="D494">
            <v>195.31</v>
          </cell>
          <cell r="E494">
            <v>200.79</v>
          </cell>
          <cell r="F494">
            <v>204.69</v>
          </cell>
          <cell r="G494" t="str">
            <v>OK</v>
          </cell>
          <cell r="H494" t="str">
            <v>OK</v>
          </cell>
          <cell r="I494">
            <v>1.0480262147355486</v>
          </cell>
          <cell r="J494">
            <v>200.79</v>
          </cell>
          <cell r="K494" t="str">
            <v>OK</v>
          </cell>
        </row>
        <row r="495">
          <cell r="A495" t="str">
            <v>MAT0233</v>
          </cell>
          <cell r="B495" t="str">
            <v>Válvula Yoke</v>
          </cell>
          <cell r="C495" t="str">
            <v>ud</v>
          </cell>
          <cell r="D495">
            <v>208.14</v>
          </cell>
          <cell r="E495">
            <v>201.89579999999998</v>
          </cell>
          <cell r="F495">
            <v>205.81</v>
          </cell>
          <cell r="G495" t="str">
            <v>OK</v>
          </cell>
          <cell r="H495" t="str">
            <v>OK</v>
          </cell>
          <cell r="I495">
            <v>0.98880561160757185</v>
          </cell>
          <cell r="J495">
            <v>261.20999999999998</v>
          </cell>
          <cell r="K495" t="str">
            <v>OK</v>
          </cell>
        </row>
        <row r="496">
          <cell r="A496" t="str">
            <v>MAT0234</v>
          </cell>
          <cell r="B496" t="str">
            <v>VENTOSA VTF16 DN=200MM</v>
          </cell>
          <cell r="C496" t="str">
            <v>ud</v>
          </cell>
          <cell r="D496">
            <v>2182.64</v>
          </cell>
          <cell r="E496">
            <v>2526.7800000000002</v>
          </cell>
          <cell r="F496">
            <v>2575.8000000000002</v>
          </cell>
          <cell r="G496" t="str">
            <v>OK</v>
          </cell>
          <cell r="H496" t="str">
            <v>OK</v>
          </cell>
          <cell r="I496">
            <v>1.1801304841842908</v>
          </cell>
          <cell r="J496">
            <v>2526.7800000000002</v>
          </cell>
          <cell r="K496" t="str">
            <v>OK</v>
          </cell>
        </row>
        <row r="497">
          <cell r="A497" t="str">
            <v>MAT0235</v>
          </cell>
          <cell r="B497" t="str">
            <v>VERTEDOR CONFECCIONADO EM PRFV (H = 250 mm; L = 1.500 mm; ESP. = 8 mm), CONFORME PROJETO</v>
          </cell>
          <cell r="C497" t="str">
            <v>ud</v>
          </cell>
          <cell r="D497">
            <v>98.03</v>
          </cell>
          <cell r="E497">
            <v>95.089100000000002</v>
          </cell>
          <cell r="F497">
            <v>96.93</v>
          </cell>
          <cell r="G497" t="str">
            <v>OK</v>
          </cell>
          <cell r="H497" t="str">
            <v>OK</v>
          </cell>
          <cell r="I497">
            <v>0.98877894522085086</v>
          </cell>
          <cell r="J497">
            <v>123.03</v>
          </cell>
          <cell r="K497" t="str">
            <v>OK</v>
          </cell>
        </row>
        <row r="498">
          <cell r="A498" t="str">
            <v>MAT0236</v>
          </cell>
          <cell r="B498" t="str">
            <v xml:space="preserve"> Tê flangeado em ferro fundido. DN = 200mm</v>
          </cell>
          <cell r="C498" t="str">
            <v xml:space="preserve">un </v>
          </cell>
          <cell r="D498">
            <v>660.42</v>
          </cell>
          <cell r="E498">
            <v>682.58</v>
          </cell>
          <cell r="F498">
            <v>695.82</v>
          </cell>
          <cell r="G498" t="str">
            <v>OK</v>
          </cell>
          <cell r="H498" t="str">
            <v>OK</v>
          </cell>
          <cell r="I498">
            <v>1.0536022531116565</v>
          </cell>
          <cell r="J498">
            <v>682.58</v>
          </cell>
          <cell r="K498" t="str">
            <v>OK</v>
          </cell>
        </row>
        <row r="499">
          <cell r="A499" t="str">
            <v>MAT0237</v>
          </cell>
          <cell r="B499" t="str">
            <v xml:space="preserve"> Tê flangeado em ferro fundido. DN = 300mm</v>
          </cell>
          <cell r="C499" t="str">
            <v xml:space="preserve">un </v>
          </cell>
          <cell r="D499">
            <v>1739.45</v>
          </cell>
          <cell r="E499">
            <v>1550.08</v>
          </cell>
          <cell r="F499">
            <v>1580.15</v>
          </cell>
          <cell r="G499" t="str">
            <v>OK</v>
          </cell>
          <cell r="H499" t="str">
            <v>OK</v>
          </cell>
          <cell r="I499">
            <v>0.90841932794848945</v>
          </cell>
          <cell r="J499">
            <v>1550.08</v>
          </cell>
          <cell r="K499" t="str">
            <v>OK</v>
          </cell>
        </row>
        <row r="500">
          <cell r="A500" t="str">
            <v>MAT0238</v>
          </cell>
          <cell r="B500" t="str">
            <v>27mm x 120mm</v>
          </cell>
          <cell r="C500" t="str">
            <v xml:space="preserve">un </v>
          </cell>
          <cell r="D500">
            <v>9.34</v>
          </cell>
          <cell r="E500">
            <v>9.0597999999999992</v>
          </cell>
          <cell r="F500">
            <v>9.24</v>
          </cell>
          <cell r="G500" t="str">
            <v>OK</v>
          </cell>
          <cell r="H500" t="str">
            <v>OK</v>
          </cell>
          <cell r="I500">
            <v>0.98929336188436834</v>
          </cell>
          <cell r="J500">
            <v>11.71</v>
          </cell>
          <cell r="K500" t="str">
            <v>OK</v>
          </cell>
        </row>
        <row r="501">
          <cell r="A501" t="str">
            <v>MAT0239</v>
          </cell>
          <cell r="B501" t="str">
            <v xml:space="preserve">Arruelas de Borracha para flanges, DN = 200mm </v>
          </cell>
          <cell r="C501" t="str">
            <v>ud</v>
          </cell>
          <cell r="D501">
            <v>3.6</v>
          </cell>
          <cell r="E501">
            <v>3.492</v>
          </cell>
          <cell r="F501">
            <v>3.56</v>
          </cell>
          <cell r="G501" t="str">
            <v>OK</v>
          </cell>
          <cell r="H501" t="str">
            <v>OK</v>
          </cell>
          <cell r="I501">
            <v>0.98888888888888893</v>
          </cell>
          <cell r="J501">
            <v>4.51</v>
          </cell>
          <cell r="K501" t="str">
            <v>OK</v>
          </cell>
        </row>
        <row r="502">
          <cell r="A502" t="str">
            <v>MAT0240</v>
          </cell>
          <cell r="B502" t="str">
            <v>DN = 300mm</v>
          </cell>
          <cell r="C502" t="str">
            <v xml:space="preserve">un </v>
          </cell>
          <cell r="D502">
            <v>6.75</v>
          </cell>
          <cell r="E502">
            <v>6.5474999999999994</v>
          </cell>
          <cell r="F502">
            <v>6.67</v>
          </cell>
          <cell r="G502" t="str">
            <v>OK</v>
          </cell>
          <cell r="H502" t="str">
            <v>OK</v>
          </cell>
          <cell r="I502">
            <v>0.98814814814814811</v>
          </cell>
          <cell r="J502">
            <v>8.4700000000000006</v>
          </cell>
          <cell r="K502" t="str">
            <v>OK</v>
          </cell>
        </row>
        <row r="503">
          <cell r="A503" t="str">
            <v>MAT0241</v>
          </cell>
          <cell r="B503" t="str">
            <v xml:space="preserve">DN = 800mm </v>
          </cell>
          <cell r="C503" t="str">
            <v xml:space="preserve">un </v>
          </cell>
          <cell r="D503">
            <v>363.39</v>
          </cell>
          <cell r="E503">
            <v>352.48829999999998</v>
          </cell>
          <cell r="F503">
            <v>359.33</v>
          </cell>
          <cell r="G503" t="str">
            <v>OK</v>
          </cell>
          <cell r="H503" t="str">
            <v>OK</v>
          </cell>
          <cell r="I503">
            <v>0.98882743058422085</v>
          </cell>
          <cell r="J503">
            <v>456.03</v>
          </cell>
          <cell r="K503" t="str">
            <v>OK</v>
          </cell>
        </row>
        <row r="504">
          <cell r="A504" t="str">
            <v>MAT0242</v>
          </cell>
          <cell r="B504" t="str">
            <v>DN = 600mm</v>
          </cell>
          <cell r="C504" t="str">
            <v xml:space="preserve">un </v>
          </cell>
          <cell r="D504">
            <v>94.51</v>
          </cell>
          <cell r="E504">
            <v>91.674700000000001</v>
          </cell>
          <cell r="F504">
            <v>93.45</v>
          </cell>
          <cell r="G504" t="str">
            <v>OK</v>
          </cell>
          <cell r="H504" t="str">
            <v>OK</v>
          </cell>
          <cell r="I504">
            <v>0.98878425563432437</v>
          </cell>
          <cell r="J504">
            <v>118.6</v>
          </cell>
          <cell r="K504" t="str">
            <v>OK</v>
          </cell>
        </row>
        <row r="505">
          <cell r="A505" t="str">
            <v>MAT0243</v>
          </cell>
          <cell r="B505" t="str">
            <v>Bureau com 3 (tres) gavetas (1,30 x 0,75m)</v>
          </cell>
          <cell r="C505" t="str">
            <v>ud</v>
          </cell>
          <cell r="D505">
            <v>388.13</v>
          </cell>
          <cell r="E505">
            <v>388.13</v>
          </cell>
          <cell r="F505">
            <v>480.89</v>
          </cell>
          <cell r="G505" t="str">
            <v>OK</v>
          </cell>
          <cell r="H505" t="str">
            <v>OK</v>
          </cell>
          <cell r="I505">
            <v>1.2389920902790301</v>
          </cell>
          <cell r="J505">
            <v>482.4</v>
          </cell>
          <cell r="K505" t="str">
            <v>B</v>
          </cell>
        </row>
        <row r="506">
          <cell r="A506" t="str">
            <v>MAT0244</v>
          </cell>
          <cell r="B506" t="str">
            <v>Cada mesa de comando será construída com resina poliéster revestida com fibra de vidro, com espessura mínima das paredes de 5mm. As seções de extremidade e do centro serão ligadas quimicamente e mecanicamente fixadas de modo a se obter uma estrutura única</v>
          </cell>
          <cell r="C506" t="str">
            <v>ud</v>
          </cell>
          <cell r="D506">
            <v>32345.83</v>
          </cell>
          <cell r="E506">
            <v>31375.455099999999</v>
          </cell>
          <cell r="F506">
            <v>31984.14</v>
          </cell>
          <cell r="G506" t="str">
            <v>OK</v>
          </cell>
          <cell r="H506" t="str">
            <v>OK</v>
          </cell>
          <cell r="I506">
            <v>0.98881803311276906</v>
          </cell>
          <cell r="J506">
            <v>46665.49</v>
          </cell>
          <cell r="K506" t="str">
            <v>OK</v>
          </cell>
        </row>
        <row r="507">
          <cell r="A507" t="str">
            <v>MAT0245</v>
          </cell>
          <cell r="B507" t="str">
            <v>Cadeiras estofadas com braços com rodísio, tipo diretor.</v>
          </cell>
          <cell r="C507" t="str">
            <v>ud</v>
          </cell>
          <cell r="D507">
            <v>122.57</v>
          </cell>
          <cell r="E507">
            <v>118.89289999999998</v>
          </cell>
          <cell r="F507">
            <v>121.2</v>
          </cell>
          <cell r="G507" t="str">
            <v>OK</v>
          </cell>
          <cell r="H507" t="str">
            <v>OK</v>
          </cell>
          <cell r="I507">
            <v>0.98882271355144002</v>
          </cell>
          <cell r="J507">
            <v>152.34</v>
          </cell>
          <cell r="K507" t="str">
            <v>OK</v>
          </cell>
        </row>
        <row r="508">
          <cell r="A508" t="str">
            <v>MAT0246</v>
          </cell>
          <cell r="B508" t="str">
            <v>Cadeiras estofadas fixas com braços sem rodísio</v>
          </cell>
          <cell r="C508" t="str">
            <v>ud</v>
          </cell>
          <cell r="D508">
            <v>86.21</v>
          </cell>
          <cell r="E508">
            <v>83.623699999999985</v>
          </cell>
          <cell r="F508">
            <v>85.25</v>
          </cell>
          <cell r="G508" t="str">
            <v>OK</v>
          </cell>
          <cell r="H508" t="str">
            <v>OK</v>
          </cell>
          <cell r="I508">
            <v>0.98886440088156835</v>
          </cell>
          <cell r="J508">
            <v>107.14</v>
          </cell>
          <cell r="K508" t="str">
            <v>OK</v>
          </cell>
        </row>
        <row r="509">
          <cell r="A509" t="str">
            <v>MAT0247</v>
          </cell>
          <cell r="B509" t="str">
            <v>Computador - NOT BOOK, conforme especificação</v>
          </cell>
          <cell r="C509" t="str">
            <v>ud</v>
          </cell>
          <cell r="D509">
            <v>7097.71</v>
          </cell>
          <cell r="E509">
            <v>6220.43</v>
          </cell>
          <cell r="F509">
            <v>6341.11</v>
          </cell>
          <cell r="G509" t="str">
            <v>OK</v>
          </cell>
          <cell r="H509" t="str">
            <v>OK</v>
          </cell>
          <cell r="I509">
            <v>0.89340223818668274</v>
          </cell>
          <cell r="J509">
            <v>6220.43</v>
          </cell>
          <cell r="K509" t="str">
            <v>OK</v>
          </cell>
        </row>
        <row r="510">
          <cell r="A510" t="str">
            <v>MAT0248</v>
          </cell>
          <cell r="B510" t="str">
            <v>Cruzeta em aço soldável com flanges (600mm x 400mm x 150mm) e ponta de 600mm</v>
          </cell>
          <cell r="C510" t="str">
            <v xml:space="preserve">un </v>
          </cell>
          <cell r="D510">
            <v>4050.26</v>
          </cell>
          <cell r="E510">
            <v>4186.42</v>
          </cell>
          <cell r="F510">
            <v>4267.6400000000003</v>
          </cell>
          <cell r="G510" t="str">
            <v>OK</v>
          </cell>
          <cell r="H510" t="str">
            <v>OK</v>
          </cell>
          <cell r="I510">
            <v>1.053670628552241</v>
          </cell>
          <cell r="J510">
            <v>4186.42</v>
          </cell>
          <cell r="K510" t="str">
            <v>OK</v>
          </cell>
        </row>
        <row r="511">
          <cell r="A511" t="str">
            <v>MAT0249</v>
          </cell>
          <cell r="B511" t="str">
            <v>Curva 45° em aço carbono soldável. DN = 600mm</v>
          </cell>
          <cell r="C511" t="str">
            <v xml:space="preserve">un </v>
          </cell>
          <cell r="D511">
            <v>1170.07</v>
          </cell>
          <cell r="E511">
            <v>1054.81</v>
          </cell>
          <cell r="F511">
            <v>1075.27</v>
          </cell>
          <cell r="G511" t="str">
            <v>OK</v>
          </cell>
          <cell r="H511" t="str">
            <v>OK</v>
          </cell>
          <cell r="I511">
            <v>0.91897920637226838</v>
          </cell>
          <cell r="J511">
            <v>1054.81</v>
          </cell>
          <cell r="K511" t="str">
            <v>OK</v>
          </cell>
        </row>
        <row r="512">
          <cell r="A512" t="str">
            <v>MAT0250</v>
          </cell>
          <cell r="B512" t="str">
            <v>Curva 45° junta mecânica para tubos de aço, com:  DN = 800mm</v>
          </cell>
          <cell r="C512" t="str">
            <v>ud</v>
          </cell>
          <cell r="D512">
            <v>10414.799999999999</v>
          </cell>
          <cell r="E512">
            <v>8563.7999999999993</v>
          </cell>
          <cell r="F512">
            <v>8729.94</v>
          </cell>
          <cell r="G512" t="str">
            <v>OK</v>
          </cell>
          <cell r="H512" t="str">
            <v>OK</v>
          </cell>
          <cell r="I512">
            <v>0.83822444982140809</v>
          </cell>
          <cell r="J512">
            <v>8563.7999999999993</v>
          </cell>
          <cell r="K512" t="str">
            <v>OK</v>
          </cell>
        </row>
        <row r="513">
          <cell r="A513" t="str">
            <v>MAT0251</v>
          </cell>
          <cell r="B513" t="str">
            <v>Curva 90° com flanges, em ferro fundido DN = 200mm</v>
          </cell>
          <cell r="C513" t="str">
            <v xml:space="preserve">un </v>
          </cell>
          <cell r="D513">
            <v>414.02</v>
          </cell>
          <cell r="E513">
            <v>401.59939999999995</v>
          </cell>
          <cell r="F513">
            <v>409.39</v>
          </cell>
          <cell r="G513" t="str">
            <v>OK</v>
          </cell>
          <cell r="H513" t="str">
            <v>OK</v>
          </cell>
          <cell r="I513">
            <v>0.98881696536399211</v>
          </cell>
          <cell r="J513">
            <v>841.86</v>
          </cell>
          <cell r="K513" t="str">
            <v>OK</v>
          </cell>
        </row>
        <row r="514">
          <cell r="A514" t="str">
            <v>MAT0252</v>
          </cell>
          <cell r="B514" t="str">
            <v>Curva 90° com junta mecânica DN = 800mm</v>
          </cell>
          <cell r="C514" t="str">
            <v xml:space="preserve">un </v>
          </cell>
          <cell r="D514">
            <v>7661.75</v>
          </cell>
          <cell r="E514">
            <v>8645.1200000000008</v>
          </cell>
          <cell r="F514">
            <v>8812.84</v>
          </cell>
          <cell r="G514" t="str">
            <v>OK</v>
          </cell>
          <cell r="H514" t="str">
            <v>OK</v>
          </cell>
          <cell r="I514">
            <v>1.1502385225307534</v>
          </cell>
          <cell r="J514">
            <v>8645.1200000000008</v>
          </cell>
          <cell r="K514" t="str">
            <v>OK</v>
          </cell>
        </row>
        <row r="515">
          <cell r="A515" t="str">
            <v>MAT0253</v>
          </cell>
          <cell r="B515" t="str">
            <v>Curva 90° em aço soldável. DN = 600mm</v>
          </cell>
          <cell r="C515" t="str">
            <v xml:space="preserve">un </v>
          </cell>
          <cell r="D515">
            <v>1631.36</v>
          </cell>
          <cell r="E515">
            <v>1582.4191999999998</v>
          </cell>
          <cell r="F515">
            <v>1613.12</v>
          </cell>
          <cell r="G515" t="str">
            <v>OK</v>
          </cell>
          <cell r="H515" t="str">
            <v>OK</v>
          </cell>
          <cell r="I515">
            <v>0.98881914476265198</v>
          </cell>
          <cell r="J515">
            <v>2508.52</v>
          </cell>
          <cell r="K515" t="str">
            <v>OK</v>
          </cell>
        </row>
        <row r="516">
          <cell r="A516" t="str">
            <v>MAT0254</v>
          </cell>
          <cell r="B516" t="str">
            <v>Curva 90° em ferro galvanizado. DN = 50mm</v>
          </cell>
          <cell r="C516" t="str">
            <v xml:space="preserve">un </v>
          </cell>
          <cell r="D516">
            <v>24.19</v>
          </cell>
          <cell r="E516">
            <v>27.3</v>
          </cell>
          <cell r="F516">
            <v>27.83</v>
          </cell>
          <cell r="G516" t="str">
            <v>OK</v>
          </cell>
          <cell r="H516" t="str">
            <v>OK</v>
          </cell>
          <cell r="I516">
            <v>1.1504754030591151</v>
          </cell>
          <cell r="J516">
            <v>27.3</v>
          </cell>
          <cell r="K516" t="str">
            <v>OK</v>
          </cell>
        </row>
        <row r="517">
          <cell r="A517" t="str">
            <v>MAT0255</v>
          </cell>
          <cell r="B517" t="str">
            <v>Diafragma em aço inox. DN = 600mm, com orifício central de 312mm na face de montante e de 322mm na face de jusante</v>
          </cell>
          <cell r="C517" t="str">
            <v xml:space="preserve">un </v>
          </cell>
          <cell r="D517">
            <v>2362.65</v>
          </cell>
          <cell r="E517">
            <v>2532.6</v>
          </cell>
          <cell r="F517">
            <v>2581.73</v>
          </cell>
          <cell r="G517" t="str">
            <v>OK</v>
          </cell>
          <cell r="H517" t="str">
            <v>OK</v>
          </cell>
          <cell r="I517">
            <v>1.0927263877425772</v>
          </cell>
          <cell r="J517">
            <v>2532.6</v>
          </cell>
          <cell r="K517" t="str">
            <v>OK</v>
          </cell>
        </row>
        <row r="518">
          <cell r="A518" t="str">
            <v>MAT0256</v>
          </cell>
          <cell r="B518" t="str">
            <v>Extremidade com ponta e flange, e com aba de vedação. DN = 150mm</v>
          </cell>
          <cell r="C518" t="str">
            <v xml:space="preserve">un </v>
          </cell>
          <cell r="D518">
            <v>418.53</v>
          </cell>
          <cell r="E518">
            <v>374.07</v>
          </cell>
          <cell r="F518">
            <v>381.33</v>
          </cell>
          <cell r="G518" t="str">
            <v>OK</v>
          </cell>
          <cell r="H518" t="str">
            <v>OK</v>
          </cell>
          <cell r="I518">
            <v>0.91111748261773351</v>
          </cell>
          <cell r="J518">
            <v>374.07</v>
          </cell>
          <cell r="K518" t="str">
            <v>OK</v>
          </cell>
        </row>
        <row r="519">
          <cell r="A519" t="str">
            <v>MAT0257</v>
          </cell>
          <cell r="B519" t="str">
            <v>Extremidade com ponta e flange, e com aba de vedação. DN = 200mm</v>
          </cell>
          <cell r="C519" t="str">
            <v xml:space="preserve">un </v>
          </cell>
          <cell r="D519">
            <v>455.66</v>
          </cell>
          <cell r="E519">
            <v>423.76380000000006</v>
          </cell>
          <cell r="F519">
            <v>431.98</v>
          </cell>
          <cell r="G519" t="str">
            <v>OK</v>
          </cell>
          <cell r="H519" t="str">
            <v>OK</v>
          </cell>
          <cell r="I519">
            <v>0.94803142694114029</v>
          </cell>
          <cell r="J519">
            <v>560.23</v>
          </cell>
          <cell r="K519" t="str">
            <v>OK</v>
          </cell>
        </row>
        <row r="520">
          <cell r="A520" t="str">
            <v>MAT0258</v>
          </cell>
          <cell r="B520" t="str">
            <v>Extremidade ponta e flange com aba de vedação, em aço soldável. DN = 400mm</v>
          </cell>
          <cell r="C520" t="str">
            <v xml:space="preserve">un </v>
          </cell>
          <cell r="D520">
            <v>1305.08</v>
          </cell>
          <cell r="E520">
            <v>1141.97</v>
          </cell>
          <cell r="F520">
            <v>1164.1199999999999</v>
          </cell>
          <cell r="G520" t="str">
            <v>OK</v>
          </cell>
          <cell r="H520" t="str">
            <v>OK</v>
          </cell>
          <cell r="I520">
            <v>0.89199129555276302</v>
          </cell>
          <cell r="J520">
            <v>1141.97</v>
          </cell>
          <cell r="K520" t="str">
            <v>OK</v>
          </cell>
        </row>
        <row r="521">
          <cell r="A521" t="str">
            <v>MAT0259</v>
          </cell>
          <cell r="B521" t="str">
            <v>Extremidade ponta e flange com aba de vedação, em aço soldável. DN = 600mm</v>
          </cell>
          <cell r="C521" t="str">
            <v xml:space="preserve">un </v>
          </cell>
          <cell r="D521">
            <v>1968.88</v>
          </cell>
          <cell r="E521">
            <v>2162.9699999999998</v>
          </cell>
          <cell r="F521">
            <v>2204.9299999999998</v>
          </cell>
          <cell r="G521" t="str">
            <v>OK</v>
          </cell>
          <cell r="H521" t="str">
            <v>OK</v>
          </cell>
          <cell r="I521">
            <v>1.1198904961196212</v>
          </cell>
          <cell r="J521">
            <v>2162.9699999999998</v>
          </cell>
          <cell r="K521" t="str">
            <v>OK</v>
          </cell>
        </row>
        <row r="522">
          <cell r="A522" t="str">
            <v>MAT0260</v>
          </cell>
          <cell r="B522" t="str">
            <v>Extremidade Ponta e Flange com aba de vedação, em ferro fundido. DN = 200mm</v>
          </cell>
          <cell r="C522" t="str">
            <v xml:space="preserve">un </v>
          </cell>
          <cell r="D522">
            <v>455.66</v>
          </cell>
          <cell r="E522">
            <v>423.76380000000006</v>
          </cell>
          <cell r="F522">
            <v>431.98</v>
          </cell>
          <cell r="G522" t="str">
            <v>OK</v>
          </cell>
          <cell r="H522" t="str">
            <v>OK</v>
          </cell>
          <cell r="I522">
            <v>0.94803142694114029</v>
          </cell>
          <cell r="J522">
            <v>560.23</v>
          </cell>
          <cell r="K522" t="str">
            <v>OK</v>
          </cell>
        </row>
        <row r="523">
          <cell r="A523" t="str">
            <v>MAT0261</v>
          </cell>
          <cell r="B523" t="str">
            <v>Extremidade Ponta e Flange com aba de vedação, em ferro fundido. DN = 300mm</v>
          </cell>
          <cell r="C523" t="str">
            <v xml:space="preserve">un </v>
          </cell>
          <cell r="D523">
            <v>729.04</v>
          </cell>
          <cell r="E523">
            <v>742.13</v>
          </cell>
          <cell r="F523">
            <v>756.53</v>
          </cell>
          <cell r="G523" t="str">
            <v>OK</v>
          </cell>
          <cell r="H523" t="str">
            <v>OK</v>
          </cell>
          <cell r="I523">
            <v>1.0377071216942828</v>
          </cell>
          <cell r="J523">
            <v>742.13</v>
          </cell>
          <cell r="K523" t="str">
            <v>OK</v>
          </cell>
        </row>
        <row r="524">
          <cell r="A524" t="str">
            <v>MAT0262</v>
          </cell>
          <cell r="B524" t="str">
            <v>Flange cego em aço soldável. DN = 200mm</v>
          </cell>
          <cell r="C524" t="str">
            <v xml:space="preserve">un </v>
          </cell>
          <cell r="D524">
            <v>292.52</v>
          </cell>
          <cell r="E524">
            <v>249.85</v>
          </cell>
          <cell r="F524">
            <v>254.7</v>
          </cell>
          <cell r="G524" t="str">
            <v>OK</v>
          </cell>
          <cell r="H524" t="str">
            <v>OK</v>
          </cell>
          <cell r="I524">
            <v>0.87070969506358542</v>
          </cell>
          <cell r="J524">
            <v>249.85</v>
          </cell>
          <cell r="K524" t="str">
            <v>OK</v>
          </cell>
        </row>
        <row r="525">
          <cell r="A525" t="str">
            <v>MAT0263</v>
          </cell>
          <cell r="B525" t="str">
            <v>Gaveteiros com 3 (tres) gavetas</v>
          </cell>
          <cell r="C525" t="str">
            <v>ud</v>
          </cell>
          <cell r="D525">
            <v>194.32</v>
          </cell>
          <cell r="E525">
            <v>180.7176</v>
          </cell>
          <cell r="F525">
            <v>184.22</v>
          </cell>
          <cell r="G525" t="str">
            <v>OK</v>
          </cell>
          <cell r="H525" t="str">
            <v>OK</v>
          </cell>
          <cell r="I525">
            <v>0.9480238781391519</v>
          </cell>
          <cell r="J525">
            <v>229.44</v>
          </cell>
          <cell r="K525" t="str">
            <v>OK</v>
          </cell>
        </row>
        <row r="526">
          <cell r="A526" t="str">
            <v>MAT0264</v>
          </cell>
          <cell r="B526" t="str">
            <v>Haste. L = 3,00m - D = 1 1/8"</v>
          </cell>
          <cell r="C526" t="str">
            <v xml:space="preserve">un </v>
          </cell>
          <cell r="D526">
            <v>320.64999999999998</v>
          </cell>
          <cell r="E526">
            <v>343.71</v>
          </cell>
          <cell r="F526">
            <v>350.38</v>
          </cell>
          <cell r="G526" t="str">
            <v>OK</v>
          </cell>
          <cell r="H526" t="str">
            <v>OK</v>
          </cell>
          <cell r="I526">
            <v>1.092717916731639</v>
          </cell>
          <cell r="J526">
            <v>343.71</v>
          </cell>
          <cell r="K526" t="str">
            <v>OK</v>
          </cell>
        </row>
        <row r="527">
          <cell r="A527" t="str">
            <v>MAT0265</v>
          </cell>
          <cell r="B527" t="str">
            <v>Linhas telefônicas fixas 02 (duas)</v>
          </cell>
          <cell r="C527" t="str">
            <v>mês</v>
          </cell>
          <cell r="D527">
            <v>408.56</v>
          </cell>
          <cell r="E527">
            <v>396.3032</v>
          </cell>
          <cell r="F527">
            <v>403.99</v>
          </cell>
          <cell r="G527" t="str">
            <v>OK</v>
          </cell>
          <cell r="H527" t="str">
            <v>OK</v>
          </cell>
          <cell r="I527">
            <v>0.98881437242999803</v>
          </cell>
          <cell r="J527">
            <v>507.79</v>
          </cell>
          <cell r="K527" t="str">
            <v>OK</v>
          </cell>
        </row>
        <row r="528">
          <cell r="A528" t="str">
            <v>MAT0266</v>
          </cell>
          <cell r="B528" t="str">
            <v>Linhas telefônicas móvel (quatro) - celular</v>
          </cell>
          <cell r="C528" t="str">
            <v>mês</v>
          </cell>
          <cell r="D528">
            <v>1429.96</v>
          </cell>
          <cell r="E528">
            <v>1387.0612000000001</v>
          </cell>
          <cell r="F528">
            <v>1413.97</v>
          </cell>
          <cell r="G528" t="str">
            <v>OK</v>
          </cell>
          <cell r="H528" t="str">
            <v>OK</v>
          </cell>
          <cell r="I528">
            <v>0.98881786903130153</v>
          </cell>
          <cell r="J528">
            <v>1777.27</v>
          </cell>
          <cell r="K528" t="str">
            <v>OK</v>
          </cell>
        </row>
        <row r="529">
          <cell r="A529" t="str">
            <v>MAT0267</v>
          </cell>
          <cell r="B529" t="str">
            <v>Luva de PVC roscável. DN = 75mm</v>
          </cell>
          <cell r="C529" t="str">
            <v xml:space="preserve">un </v>
          </cell>
          <cell r="D529">
            <v>10.76</v>
          </cell>
          <cell r="E529">
            <v>11.53</v>
          </cell>
          <cell r="F529">
            <v>11.75</v>
          </cell>
          <cell r="G529" t="str">
            <v>OK</v>
          </cell>
          <cell r="H529" t="str">
            <v>OK</v>
          </cell>
          <cell r="I529">
            <v>1.0920074349442379</v>
          </cell>
          <cell r="J529">
            <v>11.53</v>
          </cell>
          <cell r="K529" t="str">
            <v>OK</v>
          </cell>
        </row>
        <row r="530">
          <cell r="A530" t="str">
            <v>MAT0268</v>
          </cell>
          <cell r="B530" t="str">
            <v>Máquina fotográfica digital com acessórios</v>
          </cell>
          <cell r="C530" t="str">
            <v>ud</v>
          </cell>
          <cell r="D530">
            <v>1225.68</v>
          </cell>
          <cell r="E530">
            <v>1269.48</v>
          </cell>
          <cell r="F530">
            <v>1294.1099999999999</v>
          </cell>
          <cell r="G530" t="str">
            <v>OK</v>
          </cell>
          <cell r="H530" t="str">
            <v>OK</v>
          </cell>
          <cell r="I530">
            <v>1.0558302330135108</v>
          </cell>
          <cell r="J530">
            <v>1269.48</v>
          </cell>
          <cell r="K530" t="str">
            <v>OK</v>
          </cell>
        </row>
        <row r="531">
          <cell r="A531" t="str">
            <v>MAT0269</v>
          </cell>
          <cell r="B531" t="str">
            <v>Materiais de uso diário(cartuchos de tinta, papel, máquina copiadora, etc.)</v>
          </cell>
          <cell r="C531" t="str">
            <v>mês</v>
          </cell>
          <cell r="D531">
            <v>153.21</v>
          </cell>
          <cell r="E531">
            <v>148.61369999999999</v>
          </cell>
          <cell r="F531">
            <v>151.5</v>
          </cell>
          <cell r="G531" t="str">
            <v>OK</v>
          </cell>
          <cell r="H531" t="str">
            <v>OK</v>
          </cell>
          <cell r="I531">
            <v>0.98883884863912275</v>
          </cell>
          <cell r="J531">
            <v>190.42</v>
          </cell>
          <cell r="K531" t="str">
            <v>OK</v>
          </cell>
        </row>
        <row r="532">
          <cell r="A532" t="str">
            <v>MAT0270</v>
          </cell>
          <cell r="B532" t="str">
            <v>Mesa com gavetas (2,00 x 1,00m)</v>
          </cell>
          <cell r="C532" t="str">
            <v>ud</v>
          </cell>
          <cell r="D532">
            <v>359.22</v>
          </cell>
          <cell r="E532">
            <v>348.4434</v>
          </cell>
          <cell r="F532">
            <v>355.2</v>
          </cell>
          <cell r="G532" t="str">
            <v>OK</v>
          </cell>
          <cell r="H532" t="str">
            <v>OK</v>
          </cell>
          <cell r="I532">
            <v>0.98880908635376641</v>
          </cell>
          <cell r="J532">
            <v>446.46</v>
          </cell>
          <cell r="K532" t="str">
            <v>OK</v>
          </cell>
        </row>
        <row r="533">
          <cell r="A533" t="str">
            <v>MAT0271</v>
          </cell>
          <cell r="B533" t="str">
            <v>Para as unidades de comando dos filtros e de descarga de lodo dos decantadores, é previsto o acionamento pneumático das válvulas. Para tanto, deverá ser incluído no fornecimento das mesmas o correspondente sistema de ar comprimido, abrangendo central de a</v>
          </cell>
          <cell r="C533" t="str">
            <v>vb</v>
          </cell>
          <cell r="D533">
            <v>86855.57</v>
          </cell>
          <cell r="E533">
            <v>77359.179999999993</v>
          </cell>
          <cell r="F533">
            <v>78859.95</v>
          </cell>
          <cell r="G533" t="str">
            <v>OK</v>
          </cell>
          <cell r="H533" t="str">
            <v>OK</v>
          </cell>
          <cell r="I533">
            <v>0.90794349746366287</v>
          </cell>
          <cell r="J533">
            <v>77359.179999999993</v>
          </cell>
          <cell r="K533" t="str">
            <v>OK</v>
          </cell>
        </row>
        <row r="534">
          <cell r="A534" t="str">
            <v>MAT0272</v>
          </cell>
          <cell r="B534" t="str">
            <v>Pedestal de manobras</v>
          </cell>
          <cell r="C534" t="str">
            <v xml:space="preserve">un </v>
          </cell>
          <cell r="D534">
            <v>960.81</v>
          </cell>
          <cell r="E534">
            <v>1084.1300000000001</v>
          </cell>
          <cell r="F534">
            <v>1105.1600000000001</v>
          </cell>
          <cell r="G534" t="str">
            <v>OK</v>
          </cell>
          <cell r="H534" t="str">
            <v>OK</v>
          </cell>
          <cell r="I534">
            <v>1.1502378201725629</v>
          </cell>
          <cell r="J534">
            <v>1084.1300000000001</v>
          </cell>
          <cell r="K534" t="str">
            <v>OK</v>
          </cell>
        </row>
        <row r="535">
          <cell r="A535" t="str">
            <v>MAT0273</v>
          </cell>
          <cell r="B535" t="str">
            <v>Redução com flanges de aço carbono                         (1000mm x 800mm)</v>
          </cell>
          <cell r="C535" t="str">
            <v xml:space="preserve">un </v>
          </cell>
          <cell r="D535">
            <v>8539.2999999999993</v>
          </cell>
          <cell r="E535">
            <v>7073.74</v>
          </cell>
          <cell r="F535">
            <v>7210.97</v>
          </cell>
          <cell r="G535" t="str">
            <v>OK</v>
          </cell>
          <cell r="H535" t="str">
            <v>OK</v>
          </cell>
          <cell r="I535">
            <v>0.84444509503120879</v>
          </cell>
          <cell r="J535">
            <v>7073.74</v>
          </cell>
          <cell r="K535" t="str">
            <v>OK</v>
          </cell>
        </row>
        <row r="536">
          <cell r="A536" t="str">
            <v>MAT0274</v>
          </cell>
          <cell r="B536" t="str">
            <v>Refrigerador 280l</v>
          </cell>
          <cell r="C536" t="str">
            <v>ud</v>
          </cell>
          <cell r="D536">
            <v>612.84</v>
          </cell>
          <cell r="E536">
            <v>594.45479999999998</v>
          </cell>
          <cell r="F536">
            <v>605.99</v>
          </cell>
          <cell r="G536" t="str">
            <v>OK</v>
          </cell>
          <cell r="H536" t="str">
            <v>OK</v>
          </cell>
          <cell r="I536">
            <v>0.98882253116637286</v>
          </cell>
          <cell r="J536">
            <v>761.69</v>
          </cell>
          <cell r="K536" t="str">
            <v>OK</v>
          </cell>
        </row>
        <row r="537">
          <cell r="A537" t="str">
            <v>MAT0275</v>
          </cell>
          <cell r="B537" t="str">
            <v>Registro chato com flanges e volante, em ferro fundido - DN = 200mm</v>
          </cell>
          <cell r="C537" t="str">
            <v xml:space="preserve">un </v>
          </cell>
          <cell r="D537">
            <v>1428.85</v>
          </cell>
          <cell r="E537">
            <v>1309.56</v>
          </cell>
          <cell r="F537">
            <v>1334.97</v>
          </cell>
          <cell r="G537" t="str">
            <v>OK</v>
          </cell>
          <cell r="H537" t="str">
            <v>OK</v>
          </cell>
          <cell r="I537">
            <v>0.9342968121216364</v>
          </cell>
          <cell r="J537">
            <v>1309.56</v>
          </cell>
          <cell r="K537" t="str">
            <v>OK</v>
          </cell>
        </row>
        <row r="538">
          <cell r="A538" t="str">
            <v>MAT0276</v>
          </cell>
          <cell r="B538" t="str">
            <v>Registro chato com flanges e volante, em ferro fundido - DN = 300mm</v>
          </cell>
          <cell r="C538" t="str">
            <v xml:space="preserve">un </v>
          </cell>
          <cell r="D538">
            <v>2778.93</v>
          </cell>
          <cell r="E538">
            <v>2651.33</v>
          </cell>
          <cell r="F538">
            <v>2702.77</v>
          </cell>
          <cell r="G538" t="str">
            <v>OK</v>
          </cell>
          <cell r="H538" t="str">
            <v>OK</v>
          </cell>
          <cell r="I538">
            <v>0.9725937681049901</v>
          </cell>
          <cell r="J538">
            <v>2651.33</v>
          </cell>
          <cell r="K538" t="str">
            <v>OK</v>
          </cell>
        </row>
        <row r="539">
          <cell r="A539" t="str">
            <v>MAT0277</v>
          </cell>
          <cell r="B539" t="str">
            <v>Registro de gaveta com flanges - PN 10. DN = 150mm</v>
          </cell>
          <cell r="C539" t="str">
            <v xml:space="preserve">un </v>
          </cell>
          <cell r="D539">
            <v>933.81</v>
          </cell>
          <cell r="E539">
            <v>815.69</v>
          </cell>
          <cell r="F539">
            <v>831.51</v>
          </cell>
          <cell r="G539" t="str">
            <v>OK</v>
          </cell>
          <cell r="H539" t="str">
            <v>OK</v>
          </cell>
          <cell r="I539">
            <v>0.89044880650239344</v>
          </cell>
          <cell r="J539">
            <v>815.69</v>
          </cell>
          <cell r="K539" t="str">
            <v>OK</v>
          </cell>
        </row>
        <row r="540">
          <cell r="A540" t="str">
            <v>MAT0278</v>
          </cell>
          <cell r="B540" t="str">
            <v>Registro de gaveta com flanges PN-10, com acionamento pneumático. DN = 300mm</v>
          </cell>
          <cell r="C540" t="str">
            <v xml:space="preserve">un </v>
          </cell>
          <cell r="D540">
            <v>6966.45</v>
          </cell>
          <cell r="E540">
            <v>6966.45</v>
          </cell>
          <cell r="F540">
            <v>7101.6</v>
          </cell>
          <cell r="G540" t="str">
            <v>OK</v>
          </cell>
          <cell r="H540" t="str">
            <v>OK</v>
          </cell>
          <cell r="I540">
            <v>1.0194001248842668</v>
          </cell>
          <cell r="J540">
            <v>4568.05</v>
          </cell>
          <cell r="K540" t="str">
            <v>OK</v>
          </cell>
        </row>
        <row r="541">
          <cell r="A541" t="str">
            <v>MAT0279</v>
          </cell>
          <cell r="B541" t="str">
            <v>Tê com flanges em aço soldável. DN = 200 x 150mm</v>
          </cell>
          <cell r="C541" t="str">
            <v xml:space="preserve">un </v>
          </cell>
          <cell r="D541">
            <v>1080.07</v>
          </cell>
          <cell r="E541">
            <v>1025.1400000000001</v>
          </cell>
          <cell r="F541">
            <v>1045.03</v>
          </cell>
          <cell r="G541" t="str">
            <v>OK</v>
          </cell>
          <cell r="H541" t="str">
            <v>OK</v>
          </cell>
          <cell r="I541">
            <v>0.96755765829992502</v>
          </cell>
          <cell r="J541">
            <v>1025.1400000000001</v>
          </cell>
          <cell r="K541" t="str">
            <v>OK</v>
          </cell>
        </row>
        <row r="542">
          <cell r="A542" t="str">
            <v>MAT0280</v>
          </cell>
          <cell r="B542" t="str">
            <v>Toco flangeado com aba de vedação, em ferro fundido.      L = 0,50m - DN = 300mm</v>
          </cell>
          <cell r="C542" t="str">
            <v xml:space="preserve">un </v>
          </cell>
          <cell r="D542">
            <v>843.81</v>
          </cell>
          <cell r="E542">
            <v>784.74329999999998</v>
          </cell>
          <cell r="F542">
            <v>799.97</v>
          </cell>
          <cell r="G542" t="str">
            <v>OK</v>
          </cell>
          <cell r="H542" t="str">
            <v>OK</v>
          </cell>
          <cell r="I542">
            <v>0.94804517604674043</v>
          </cell>
          <cell r="J542">
            <v>1006.59</v>
          </cell>
          <cell r="K542" t="str">
            <v>OK</v>
          </cell>
        </row>
        <row r="543">
          <cell r="A543" t="str">
            <v>MAT0281</v>
          </cell>
          <cell r="B543" t="str">
            <v>Toco flangeado com aba de vedação, em ferro fundido.      L = 0,75m - DN = 200mm</v>
          </cell>
          <cell r="C543" t="str">
            <v xml:space="preserve">un </v>
          </cell>
          <cell r="D543">
            <v>551.29</v>
          </cell>
          <cell r="E543">
            <v>534.7512999999999</v>
          </cell>
          <cell r="F543">
            <v>545.13</v>
          </cell>
          <cell r="G543" t="str">
            <v>OK</v>
          </cell>
          <cell r="H543" t="str">
            <v>OK</v>
          </cell>
          <cell r="I543">
            <v>0.9888262076221227</v>
          </cell>
          <cell r="J543">
            <v>695.72</v>
          </cell>
          <cell r="K543" t="str">
            <v>OK</v>
          </cell>
        </row>
        <row r="544">
          <cell r="A544" t="str">
            <v>MAT0282</v>
          </cell>
          <cell r="B544" t="str">
            <v>Tubo de aço carbono, L = 10,00m - DN = 800mm</v>
          </cell>
          <cell r="C544" t="str">
            <v xml:space="preserve">un </v>
          </cell>
          <cell r="D544">
            <v>17866.14</v>
          </cell>
          <cell r="E544">
            <v>16461.54</v>
          </cell>
          <cell r="F544">
            <v>16780.89</v>
          </cell>
          <cell r="G544" t="str">
            <v>OK</v>
          </cell>
          <cell r="H544" t="str">
            <v>OK</v>
          </cell>
          <cell r="I544">
            <v>0.9392566049521609</v>
          </cell>
          <cell r="J544">
            <v>16461.54</v>
          </cell>
          <cell r="K544" t="str">
            <v>OK</v>
          </cell>
        </row>
        <row r="545">
          <cell r="A545" t="str">
            <v>MAT0283</v>
          </cell>
          <cell r="B545" t="str">
            <v>Tubo de ferro fundido cilíndrico. L = 5,80m -                 DN = 750mm</v>
          </cell>
          <cell r="C545" t="str">
            <v xml:space="preserve">un </v>
          </cell>
          <cell r="D545">
            <v>5396.45</v>
          </cell>
          <cell r="E545">
            <v>5018.6985000000004</v>
          </cell>
          <cell r="F545">
            <v>5116.0600000000004</v>
          </cell>
          <cell r="G545" t="str">
            <v>OK</v>
          </cell>
          <cell r="H545" t="str">
            <v>OK</v>
          </cell>
          <cell r="I545">
            <v>0.94804176819946462</v>
          </cell>
          <cell r="J545">
            <v>6611.64</v>
          </cell>
          <cell r="K545" t="str">
            <v>OK</v>
          </cell>
        </row>
        <row r="546">
          <cell r="A546" t="str">
            <v>MAT0284</v>
          </cell>
          <cell r="B546" t="str">
            <v>Tubo de ferro fundido com flange e ponta e aba de vedação. L = 2,00m - DN = 300mm</v>
          </cell>
          <cell r="C546" t="str">
            <v xml:space="preserve">un </v>
          </cell>
          <cell r="D546">
            <v>1327.59</v>
          </cell>
          <cell r="E546">
            <v>1287.7622999999999</v>
          </cell>
          <cell r="F546">
            <v>1312.74</v>
          </cell>
          <cell r="G546" t="str">
            <v>OK</v>
          </cell>
          <cell r="H546" t="str">
            <v>OK</v>
          </cell>
          <cell r="I546">
            <v>0.98881431767337813</v>
          </cell>
          <cell r="J546">
            <v>1666.02</v>
          </cell>
          <cell r="K546" t="str">
            <v>OK</v>
          </cell>
        </row>
        <row r="547">
          <cell r="A547" t="str">
            <v>MAT0285</v>
          </cell>
          <cell r="B547" t="str">
            <v>Tubo de ferro fundido com flange e ponta. L = 1,20m -         DN = 200mm</v>
          </cell>
          <cell r="C547" t="str">
            <v xml:space="preserve">un </v>
          </cell>
          <cell r="D547">
            <v>483.79</v>
          </cell>
          <cell r="E547">
            <v>469.27629999999999</v>
          </cell>
          <cell r="F547">
            <v>478.38</v>
          </cell>
          <cell r="G547" t="str">
            <v>OK</v>
          </cell>
          <cell r="H547" t="str">
            <v>OK</v>
          </cell>
          <cell r="I547">
            <v>0.98881746212199506</v>
          </cell>
          <cell r="J547">
            <v>607.12</v>
          </cell>
          <cell r="K547" t="str">
            <v>OK</v>
          </cell>
        </row>
        <row r="548">
          <cell r="A548" t="str">
            <v>MAT0286</v>
          </cell>
          <cell r="B548" t="str">
            <v>Tubo de ferro fundido com flange e ponta. - L = 0,65m - DN = 200mm</v>
          </cell>
          <cell r="C548" t="str">
            <v xml:space="preserve">un </v>
          </cell>
          <cell r="D548">
            <v>337.52</v>
          </cell>
          <cell r="E548">
            <v>327.39439999999996</v>
          </cell>
          <cell r="F548">
            <v>333.75</v>
          </cell>
          <cell r="G548" t="str">
            <v>OK</v>
          </cell>
          <cell r="H548" t="str">
            <v>OK</v>
          </cell>
          <cell r="I548">
            <v>0.98883029153827928</v>
          </cell>
          <cell r="J548">
            <v>423.57</v>
          </cell>
          <cell r="K548" t="str">
            <v>OK</v>
          </cell>
        </row>
        <row r="549">
          <cell r="A549" t="str">
            <v>MAT0287</v>
          </cell>
          <cell r="B549" t="str">
            <v>Tubo de ferro fundido com flange e ponta. - L = 1,50m - DN = 300mm</v>
          </cell>
          <cell r="C549" t="str">
            <v xml:space="preserve">un </v>
          </cell>
          <cell r="D549">
            <v>1507.6</v>
          </cell>
          <cell r="E549">
            <v>1448.19</v>
          </cell>
          <cell r="F549">
            <v>1476.28</v>
          </cell>
          <cell r="G549" t="str">
            <v>OK</v>
          </cell>
          <cell r="H549" t="str">
            <v>OK</v>
          </cell>
          <cell r="I549">
            <v>0.97922525868930754</v>
          </cell>
          <cell r="J549">
            <v>1448.19</v>
          </cell>
          <cell r="K549" t="str">
            <v>OK</v>
          </cell>
        </row>
        <row r="550">
          <cell r="A550" t="str">
            <v>MAT0288</v>
          </cell>
          <cell r="B550" t="str">
            <v>Tubo de ferro fundido com flange e ponta. - L = 2,60m - DN = 200mm</v>
          </cell>
          <cell r="C550" t="str">
            <v xml:space="preserve">un </v>
          </cell>
          <cell r="D550">
            <v>866.31</v>
          </cell>
          <cell r="E550">
            <v>840.32069999999987</v>
          </cell>
          <cell r="F550">
            <v>856.62</v>
          </cell>
          <cell r="G550" t="str">
            <v>OK</v>
          </cell>
          <cell r="H550" t="str">
            <v>OK</v>
          </cell>
          <cell r="I550">
            <v>0.98881462755826444</v>
          </cell>
          <cell r="J550">
            <v>1087.1600000000001</v>
          </cell>
          <cell r="K550" t="str">
            <v>OK</v>
          </cell>
        </row>
        <row r="551">
          <cell r="A551" t="str">
            <v>MAT0289</v>
          </cell>
          <cell r="B551" t="str">
            <v>Tubo de ferro fundido com ponta e bolsa. L = 5,80m - DN = 800mm</v>
          </cell>
          <cell r="C551" t="str">
            <v xml:space="preserve">un </v>
          </cell>
          <cell r="D551">
            <v>5396.45</v>
          </cell>
          <cell r="E551">
            <v>4437.3599999999997</v>
          </cell>
          <cell r="F551">
            <v>4523.4399999999996</v>
          </cell>
          <cell r="G551" t="str">
            <v>OK</v>
          </cell>
          <cell r="H551" t="str">
            <v>OK</v>
          </cell>
          <cell r="I551">
            <v>0.83822512948327133</v>
          </cell>
          <cell r="J551">
            <v>4437.3599999999997</v>
          </cell>
          <cell r="K551" t="str">
            <v>OK</v>
          </cell>
        </row>
        <row r="552">
          <cell r="A552" t="str">
            <v>MAT0290</v>
          </cell>
          <cell r="B552" t="str">
            <v>Tubo de ferro fundido flangeado. L = 0,60m - DN = 200mm</v>
          </cell>
          <cell r="C552" t="str">
            <v xml:space="preserve">un </v>
          </cell>
          <cell r="D552">
            <v>483.79</v>
          </cell>
          <cell r="E552">
            <v>469.27629999999999</v>
          </cell>
          <cell r="F552">
            <v>478.38</v>
          </cell>
          <cell r="G552" t="str">
            <v>OK</v>
          </cell>
          <cell r="H552" t="str">
            <v>OK</v>
          </cell>
          <cell r="I552">
            <v>0.98881746212199506</v>
          </cell>
          <cell r="J552">
            <v>607.12</v>
          </cell>
          <cell r="K552" t="str">
            <v>OK</v>
          </cell>
        </row>
        <row r="553">
          <cell r="A553" t="str">
            <v>MAT0291</v>
          </cell>
          <cell r="B553" t="str">
            <v>Tubo de PVC rígido roscável. L = 1,50m - DN = 75mm</v>
          </cell>
          <cell r="C553" t="str">
            <v xml:space="preserve">un </v>
          </cell>
          <cell r="D553">
            <v>23.03</v>
          </cell>
          <cell r="E553">
            <v>24.69</v>
          </cell>
          <cell r="F553">
            <v>25.17</v>
          </cell>
          <cell r="G553" t="str">
            <v>OK</v>
          </cell>
          <cell r="H553" t="str">
            <v>OK</v>
          </cell>
          <cell r="I553">
            <v>1.092922275293096</v>
          </cell>
          <cell r="J553">
            <v>24.69</v>
          </cell>
          <cell r="K553" t="str">
            <v>OK</v>
          </cell>
        </row>
        <row r="554">
          <cell r="A554" t="str">
            <v>MAT0292</v>
          </cell>
          <cell r="B554" t="str">
            <v>Tubo de PVC rígido roscável DN 75 mm com 3,15m de conprimento, com furos de 1/2" conforme projeto</v>
          </cell>
          <cell r="C554" t="str">
            <v xml:space="preserve">un </v>
          </cell>
          <cell r="D554">
            <v>18.649999999999999</v>
          </cell>
          <cell r="E554">
            <v>18.090499999999999</v>
          </cell>
          <cell r="F554">
            <v>18.440000000000001</v>
          </cell>
          <cell r="G554" t="str">
            <v>OK</v>
          </cell>
          <cell r="H554" t="str">
            <v>OK</v>
          </cell>
          <cell r="I554">
            <v>0.98873994638069718</v>
          </cell>
          <cell r="J554">
            <v>23.4</v>
          </cell>
          <cell r="K554" t="str">
            <v>OK</v>
          </cell>
        </row>
        <row r="555">
          <cell r="A555" t="str">
            <v>MAT0293</v>
          </cell>
          <cell r="B555" t="str">
            <v xml:space="preserve">Tubo de PVC roscável. L = 2,30m - DN = 75mm </v>
          </cell>
          <cell r="C555" t="str">
            <v xml:space="preserve">un </v>
          </cell>
          <cell r="D555">
            <v>35.32</v>
          </cell>
          <cell r="E555">
            <v>37.86</v>
          </cell>
          <cell r="F555">
            <v>38.590000000000003</v>
          </cell>
          <cell r="G555" t="str">
            <v>OK</v>
          </cell>
          <cell r="H555" t="str">
            <v>OK</v>
          </cell>
          <cell r="I555">
            <v>1.0925821064552663</v>
          </cell>
          <cell r="J555">
            <v>37.86</v>
          </cell>
          <cell r="K555" t="str">
            <v>OK</v>
          </cell>
        </row>
        <row r="556">
          <cell r="A556" t="str">
            <v>MAT0294</v>
          </cell>
          <cell r="B556" t="str">
            <v>Tubo de PVC para esgotamento sanitário conforme norma 7362 - DN = 300mm - L = 5,05m</v>
          </cell>
          <cell r="C556" t="str">
            <v xml:space="preserve">un </v>
          </cell>
          <cell r="D556">
            <v>749.73</v>
          </cell>
          <cell r="E556">
            <v>616.48</v>
          </cell>
          <cell r="F556">
            <v>628.44000000000005</v>
          </cell>
          <cell r="G556" t="str">
            <v>OK</v>
          </cell>
          <cell r="H556" t="str">
            <v>OK</v>
          </cell>
          <cell r="I556">
            <v>0.83822175983354008</v>
          </cell>
          <cell r="J556">
            <v>616.48</v>
          </cell>
          <cell r="K556" t="str">
            <v>OK</v>
          </cell>
        </row>
        <row r="557">
          <cell r="A557" t="str">
            <v>MAT0295</v>
          </cell>
          <cell r="B557" t="str">
            <v>Tubo em aço carbono com flanges. L = 1,00m -            DN = 600mm</v>
          </cell>
          <cell r="C557" t="str">
            <v xml:space="preserve">un </v>
          </cell>
          <cell r="D557">
            <v>2846.44</v>
          </cell>
          <cell r="E557">
            <v>3197.18</v>
          </cell>
          <cell r="F557">
            <v>3259.21</v>
          </cell>
          <cell r="G557" t="str">
            <v>OK</v>
          </cell>
          <cell r="H557" t="str">
            <v>OK</v>
          </cell>
          <cell r="I557">
            <v>1.1450127176402805</v>
          </cell>
          <cell r="J557">
            <v>3197.18</v>
          </cell>
          <cell r="K557" t="str">
            <v>OK</v>
          </cell>
        </row>
        <row r="558">
          <cell r="A558" t="str">
            <v>MAT0296</v>
          </cell>
          <cell r="B558" t="str">
            <v xml:space="preserve">Tubo em aço carbono com ponta e bolsa e junta elástica, com revestimento interno em epoxi e externo em dupla camada de polipropileno. DN = 800mm </v>
          </cell>
          <cell r="C558" t="str">
            <v>m</v>
          </cell>
          <cell r="D558">
            <v>1333.36</v>
          </cell>
          <cell r="E558">
            <v>1293.3591999999999</v>
          </cell>
          <cell r="F558">
            <v>1318.45</v>
          </cell>
          <cell r="G558" t="str">
            <v>OK</v>
          </cell>
          <cell r="H558" t="str">
            <v>OK</v>
          </cell>
          <cell r="I558">
            <v>0.98881772364552722</v>
          </cell>
          <cell r="J558">
            <v>1673.26</v>
          </cell>
          <cell r="K558" t="str">
            <v>OK</v>
          </cell>
        </row>
        <row r="559">
          <cell r="A559" t="str">
            <v>MAT0297</v>
          </cell>
          <cell r="B559" t="str">
            <v xml:space="preserve">Tubo em aço carbono com ponta para solda e flange. L = 1,15m - DN = 600mm   </v>
          </cell>
          <cell r="C559" t="str">
            <v xml:space="preserve">un </v>
          </cell>
          <cell r="D559">
            <v>2092.63</v>
          </cell>
          <cell r="E559">
            <v>2401.5300000000002</v>
          </cell>
          <cell r="F559">
            <v>2448.12</v>
          </cell>
          <cell r="G559" t="str">
            <v>OK</v>
          </cell>
          <cell r="H559" t="str">
            <v>OK</v>
          </cell>
          <cell r="I559">
            <v>1.1698771402493511</v>
          </cell>
          <cell r="J559">
            <v>2401.5300000000002</v>
          </cell>
          <cell r="K559" t="str">
            <v>OK</v>
          </cell>
        </row>
        <row r="560">
          <cell r="A560" t="str">
            <v>MAT0298</v>
          </cell>
          <cell r="B560" t="str">
            <v>Tubo em aço carbono sem costura SCH 40, ponta.           L = 5,80 - DN = 600mm</v>
          </cell>
          <cell r="C560" t="str">
            <v xml:space="preserve">un </v>
          </cell>
          <cell r="D560">
            <v>5962.88</v>
          </cell>
          <cell r="E560">
            <v>5783.9935999999998</v>
          </cell>
          <cell r="F560">
            <v>5896.2</v>
          </cell>
          <cell r="G560" t="str">
            <v>OK</v>
          </cell>
          <cell r="H560" t="str">
            <v>OK</v>
          </cell>
          <cell r="I560">
            <v>0.98881748416872384</v>
          </cell>
          <cell r="J560">
            <v>7482.98</v>
          </cell>
          <cell r="K560" t="str">
            <v>OK</v>
          </cell>
        </row>
        <row r="561">
          <cell r="A561" t="str">
            <v>MAT0299</v>
          </cell>
          <cell r="B561" t="str">
            <v>Tubo em aço carbono soldável com aba de vedação. L = 4,15m - DN = 800mm</v>
          </cell>
          <cell r="C561" t="str">
            <v xml:space="preserve">un </v>
          </cell>
          <cell r="D561">
            <v>6041.64</v>
          </cell>
          <cell r="E561">
            <v>5860.3908000000001</v>
          </cell>
          <cell r="F561">
            <v>5974.08</v>
          </cell>
          <cell r="G561" t="str">
            <v>OK</v>
          </cell>
          <cell r="H561" t="str">
            <v>OK</v>
          </cell>
          <cell r="I561">
            <v>0.98881760581563938</v>
          </cell>
          <cell r="J561">
            <v>7546.89</v>
          </cell>
          <cell r="K561" t="str">
            <v>OK</v>
          </cell>
        </row>
        <row r="562">
          <cell r="A562" t="str">
            <v>MAT0300</v>
          </cell>
          <cell r="B562" t="str">
            <v>Tubo em aço carbono soldável com flanges.    L = 3,45m -         DN = 200mm</v>
          </cell>
          <cell r="C562" t="str">
            <v xml:space="preserve">un </v>
          </cell>
          <cell r="D562">
            <v>2121.89</v>
          </cell>
          <cell r="E562">
            <v>1910.73</v>
          </cell>
          <cell r="F562">
            <v>1947.8</v>
          </cell>
          <cell r="G562" t="str">
            <v>OK</v>
          </cell>
          <cell r="H562" t="str">
            <v>OK</v>
          </cell>
          <cell r="I562">
            <v>0.91795521916781742</v>
          </cell>
          <cell r="J562">
            <v>1910.73</v>
          </cell>
          <cell r="K562" t="str">
            <v>OK</v>
          </cell>
        </row>
        <row r="563">
          <cell r="A563" t="str">
            <v>MAT0301</v>
          </cell>
          <cell r="B563" t="str">
            <v>Tubo em aço carbono soldável. L = 0,40m - DN = 200mm</v>
          </cell>
          <cell r="C563" t="str">
            <v xml:space="preserve">un </v>
          </cell>
          <cell r="D563">
            <v>183.38</v>
          </cell>
          <cell r="E563">
            <v>160.09</v>
          </cell>
          <cell r="F563">
            <v>163.19999999999999</v>
          </cell>
          <cell r="G563" t="str">
            <v>OK</v>
          </cell>
          <cell r="H563" t="str">
            <v>OK</v>
          </cell>
          <cell r="I563">
            <v>0.88995528410949931</v>
          </cell>
          <cell r="J563">
            <v>160.09</v>
          </cell>
          <cell r="K563" t="str">
            <v>OK</v>
          </cell>
        </row>
        <row r="564">
          <cell r="A564" t="str">
            <v>MAT0302</v>
          </cell>
          <cell r="B564" t="str">
            <v>Tubo em aço carbono soldável. L = 0,41m - DN = 150mm</v>
          </cell>
          <cell r="C564" t="str">
            <v xml:space="preserve">un </v>
          </cell>
          <cell r="D564">
            <v>108</v>
          </cell>
          <cell r="E564">
            <v>94.92</v>
          </cell>
          <cell r="F564">
            <v>96.76</v>
          </cell>
          <cell r="G564" t="str">
            <v>OK</v>
          </cell>
          <cell r="H564" t="str">
            <v>OK</v>
          </cell>
          <cell r="I564">
            <v>0.89592592592592601</v>
          </cell>
          <cell r="J564">
            <v>94.92</v>
          </cell>
          <cell r="K564" t="str">
            <v>OK</v>
          </cell>
        </row>
        <row r="565">
          <cell r="A565" t="str">
            <v>MAT0303</v>
          </cell>
          <cell r="B565" t="str">
            <v>Tubo em aço carbono soldável. L = 1,40m - DN = 150mm</v>
          </cell>
          <cell r="C565" t="str">
            <v xml:space="preserve">un </v>
          </cell>
          <cell r="D565">
            <v>378.02</v>
          </cell>
          <cell r="E565">
            <v>324.10000000000002</v>
          </cell>
          <cell r="F565">
            <v>330.39</v>
          </cell>
          <cell r="G565" t="str">
            <v>OK</v>
          </cell>
          <cell r="H565" t="str">
            <v>OK</v>
          </cell>
          <cell r="I565">
            <v>0.87400137558859325</v>
          </cell>
          <cell r="J565">
            <v>324.10000000000002</v>
          </cell>
          <cell r="K565" t="str">
            <v>OK</v>
          </cell>
        </row>
        <row r="566">
          <cell r="A566" t="str">
            <v>MAT0304</v>
          </cell>
          <cell r="B566" t="str">
            <v>Tubo em aço carbono soldável. L = 3,20m - DN = 600mm</v>
          </cell>
          <cell r="C566" t="str">
            <v xml:space="preserve">un </v>
          </cell>
          <cell r="D566">
            <v>3285.21</v>
          </cell>
          <cell r="E566">
            <v>3055.2453</v>
          </cell>
          <cell r="F566">
            <v>3114.52</v>
          </cell>
          <cell r="G566" t="str">
            <v>OK</v>
          </cell>
          <cell r="H566" t="str">
            <v>OK</v>
          </cell>
          <cell r="I566">
            <v>0.94804289527914498</v>
          </cell>
          <cell r="J566">
            <v>3950.48</v>
          </cell>
          <cell r="K566" t="str">
            <v>OK</v>
          </cell>
        </row>
        <row r="567">
          <cell r="A567" t="str">
            <v>MAT0305</v>
          </cell>
          <cell r="B567" t="str">
            <v>Tubo em aço carbono soldável. L = 3,70m - DN = 600mm</v>
          </cell>
          <cell r="C567" t="str">
            <v xml:space="preserve">un </v>
          </cell>
          <cell r="D567">
            <v>3802.74</v>
          </cell>
          <cell r="E567">
            <v>3536.5482000000002</v>
          </cell>
          <cell r="F567">
            <v>3605.16</v>
          </cell>
          <cell r="G567" t="str">
            <v>OK</v>
          </cell>
          <cell r="H567" t="str">
            <v>OK</v>
          </cell>
          <cell r="I567">
            <v>0.94804272708625892</v>
          </cell>
          <cell r="J567">
            <v>4568.0200000000004</v>
          </cell>
          <cell r="K567" t="str">
            <v>OK</v>
          </cell>
        </row>
        <row r="568">
          <cell r="A568" t="str">
            <v>MAT0306</v>
          </cell>
          <cell r="B568" t="str">
            <v>Tubo em ferro galvanizado. L = 2,70m - DN = 50mm</v>
          </cell>
          <cell r="C568" t="str">
            <v xml:space="preserve">un </v>
          </cell>
          <cell r="D568">
            <v>23.58</v>
          </cell>
          <cell r="E568">
            <v>25.28</v>
          </cell>
          <cell r="F568">
            <v>25.77</v>
          </cell>
          <cell r="G568" t="str">
            <v>OK</v>
          </cell>
          <cell r="H568" t="str">
            <v>OK</v>
          </cell>
          <cell r="I568">
            <v>1.0928753180661579</v>
          </cell>
          <cell r="J568">
            <v>25.28</v>
          </cell>
          <cell r="K568" t="str">
            <v>OK</v>
          </cell>
        </row>
        <row r="569">
          <cell r="A569" t="str">
            <v>MAT0307</v>
          </cell>
          <cell r="B569" t="str">
            <v>Tubo em fibra de vidro. L = 0,35m - DN = 100mm</v>
          </cell>
          <cell r="C569" t="str">
            <v xml:space="preserve">un </v>
          </cell>
          <cell r="D569">
            <v>39.369999999999997</v>
          </cell>
          <cell r="E569">
            <v>33.159999999999997</v>
          </cell>
          <cell r="F569">
            <v>33.799999999999997</v>
          </cell>
          <cell r="G569" t="str">
            <v>OK</v>
          </cell>
          <cell r="H569" t="str">
            <v>OK</v>
          </cell>
          <cell r="I569">
            <v>0.85852171704343405</v>
          </cell>
          <cell r="J569">
            <v>33.159999999999997</v>
          </cell>
          <cell r="K569" t="str">
            <v>OK</v>
          </cell>
        </row>
        <row r="570">
          <cell r="A570" t="str">
            <v>MAT0308</v>
          </cell>
          <cell r="B570" t="str">
            <v>Válvula borboleta para ar comprimido com flanges. DN = 600mm</v>
          </cell>
          <cell r="C570" t="str">
            <v xml:space="preserve">un </v>
          </cell>
          <cell r="D570">
            <v>10261.780000000001</v>
          </cell>
          <cell r="E570">
            <v>11578.88</v>
          </cell>
          <cell r="F570">
            <v>11803.51</v>
          </cell>
          <cell r="G570" t="str">
            <v>OK</v>
          </cell>
          <cell r="H570" t="str">
            <v>OK</v>
          </cell>
          <cell r="I570">
            <v>1.1502400168391838</v>
          </cell>
          <cell r="J570">
            <v>11578.88</v>
          </cell>
          <cell r="K570" t="str">
            <v>OK</v>
          </cell>
        </row>
        <row r="571">
          <cell r="A571" t="str">
            <v>MAT0309</v>
          </cell>
          <cell r="B571" t="str">
            <v>Ventosa de duplo efeito ou triplice função PN 10      DN = 200mm</v>
          </cell>
          <cell r="C571" t="str">
            <v>ud</v>
          </cell>
          <cell r="D571">
            <v>2182.64</v>
          </cell>
          <cell r="E571">
            <v>2508.96</v>
          </cell>
          <cell r="F571">
            <v>2557.63</v>
          </cell>
          <cell r="G571" t="str">
            <v>OK</v>
          </cell>
          <cell r="H571" t="str">
            <v>OK</v>
          </cell>
          <cell r="I571">
            <v>1.1718057031851337</v>
          </cell>
          <cell r="J571">
            <v>2508.96</v>
          </cell>
          <cell r="K571" t="str">
            <v>OK</v>
          </cell>
        </row>
        <row r="572">
          <cell r="A572" t="str">
            <v>MAT0310</v>
          </cell>
          <cell r="B572" t="str">
            <v>CHEGADA DA ETA NOVA - CALHA PARSHALL</v>
          </cell>
          <cell r="C572" t="str">
            <v>un</v>
          </cell>
          <cell r="D572">
            <v>5107</v>
          </cell>
          <cell r="E572">
            <v>4953.79</v>
          </cell>
          <cell r="F572">
            <v>5049.8900000000003</v>
          </cell>
          <cell r="G572" t="str">
            <v>OK</v>
          </cell>
          <cell r="H572" t="str">
            <v>OK</v>
          </cell>
          <cell r="I572">
            <v>0.98881730957509306</v>
          </cell>
          <cell r="J572">
            <v>11255.34</v>
          </cell>
          <cell r="K572" t="str">
            <v>OK</v>
          </cell>
        </row>
        <row r="573">
          <cell r="A573" t="str">
            <v>MAT0311</v>
          </cell>
          <cell r="B573" t="str">
            <v>CHEGADA NA ETA EXISTENTE - CANAL</v>
          </cell>
          <cell r="C573" t="str">
            <v>un</v>
          </cell>
          <cell r="D573">
            <v>5107</v>
          </cell>
          <cell r="E573">
            <v>4953.79</v>
          </cell>
          <cell r="F573">
            <v>5049.8900000000003</v>
          </cell>
          <cell r="G573" t="str">
            <v>OK</v>
          </cell>
          <cell r="H573" t="str">
            <v>OK</v>
          </cell>
          <cell r="I573">
            <v>0.98881730957509306</v>
          </cell>
          <cell r="J573">
            <v>6347.38</v>
          </cell>
          <cell r="K573" t="str">
            <v>OK</v>
          </cell>
        </row>
        <row r="574">
          <cell r="A574" t="str">
            <v>MAT0312</v>
          </cell>
          <cell r="B574" t="str">
            <v>SAÍDA DA ETA NOVA - DN 1000mm</v>
          </cell>
          <cell r="C574" t="str">
            <v>un</v>
          </cell>
          <cell r="D574">
            <v>29620.6</v>
          </cell>
          <cell r="E574">
            <v>28731.981999999996</v>
          </cell>
          <cell r="F574">
            <v>29289.38</v>
          </cell>
          <cell r="G574" t="str">
            <v>OK</v>
          </cell>
          <cell r="H574" t="str">
            <v>OK</v>
          </cell>
          <cell r="I574">
            <v>0.98881791726028512</v>
          </cell>
          <cell r="J574">
            <v>36814.78</v>
          </cell>
          <cell r="K574" t="str">
            <v>OK</v>
          </cell>
        </row>
        <row r="575">
          <cell r="A575" t="str">
            <v>MAT0313</v>
          </cell>
          <cell r="B575" t="str">
            <v>SAÍDA DA ETA EXISTENTE - CANAL</v>
          </cell>
          <cell r="C575" t="str">
            <v>un</v>
          </cell>
          <cell r="D575">
            <v>5107</v>
          </cell>
          <cell r="E575">
            <v>5209.1400000000003</v>
          </cell>
          <cell r="F575">
            <v>5310.2</v>
          </cell>
          <cell r="G575" t="str">
            <v>OK</v>
          </cell>
          <cell r="H575" t="str">
            <v>OK</v>
          </cell>
          <cell r="I575">
            <v>1.0397885255531623</v>
          </cell>
          <cell r="J575">
            <v>6347.38</v>
          </cell>
          <cell r="K575" t="str">
            <v>OK</v>
          </cell>
        </row>
        <row r="576">
          <cell r="A576" t="str">
            <v>MAT0314</v>
          </cell>
          <cell r="B576" t="str">
            <v>SAÍDA RAP ÁGUA TRATADA - DN 1.000mm</v>
          </cell>
          <cell r="C576" t="str">
            <v>un</v>
          </cell>
          <cell r="D576">
            <v>29620.6</v>
          </cell>
          <cell r="E576">
            <v>30213.011999999999</v>
          </cell>
          <cell r="F576">
            <v>30799.14</v>
          </cell>
          <cell r="G576" t="str">
            <v>OK</v>
          </cell>
          <cell r="H576" t="str">
            <v>OK</v>
          </cell>
          <cell r="I576">
            <v>1.0397878503473934</v>
          </cell>
          <cell r="J576">
            <v>36814.78</v>
          </cell>
          <cell r="K576" t="str">
            <v>OK</v>
          </cell>
        </row>
        <row r="577">
          <cell r="A577" t="str">
            <v>MAT0315</v>
          </cell>
          <cell r="B577" t="str">
            <v>SAÍDA DO TANQUE DE CONTATO 1ª E 2ª LINHA - DN 750mm</v>
          </cell>
          <cell r="C577" t="str">
            <v>un</v>
          </cell>
          <cell r="D577">
            <v>29620.6</v>
          </cell>
          <cell r="E577">
            <v>30213.011999999999</v>
          </cell>
          <cell r="F577">
            <v>30799.14</v>
          </cell>
          <cell r="G577" t="str">
            <v>OK</v>
          </cell>
          <cell r="H577" t="str">
            <v>OK</v>
          </cell>
          <cell r="I577">
            <v>1.0397878503473934</v>
          </cell>
          <cell r="J577">
            <v>36814.78</v>
          </cell>
          <cell r="K577" t="str">
            <v>OK</v>
          </cell>
        </row>
        <row r="578">
          <cell r="A578" t="str">
            <v>MAT0316</v>
          </cell>
          <cell r="B578" t="str">
            <v>SAÍDA DA E.E. DE ÁGUA TRATADA - DN 800mm</v>
          </cell>
          <cell r="C578" t="str">
            <v>un</v>
          </cell>
          <cell r="D578">
            <v>29620.6</v>
          </cell>
          <cell r="E578">
            <v>30213.011999999999</v>
          </cell>
          <cell r="F578">
            <v>30799.14</v>
          </cell>
          <cell r="G578" t="str">
            <v>OK</v>
          </cell>
          <cell r="H578" t="str">
            <v>OK</v>
          </cell>
          <cell r="I578">
            <v>1.0397878503473934</v>
          </cell>
          <cell r="J578">
            <v>36814.78</v>
          </cell>
          <cell r="K578" t="str">
            <v>OK</v>
          </cell>
        </row>
        <row r="579">
          <cell r="A579" t="str">
            <v>MAT0317</v>
          </cell>
          <cell r="B579" t="str">
            <v>SAÍDA DA E.E. LAV. DOS FILTROS - DN 800mm</v>
          </cell>
          <cell r="C579" t="str">
            <v>un</v>
          </cell>
          <cell r="D579">
            <v>29620.6</v>
          </cell>
          <cell r="E579">
            <v>30213.011999999999</v>
          </cell>
          <cell r="F579">
            <v>30799.14</v>
          </cell>
          <cell r="G579" t="str">
            <v>OK</v>
          </cell>
          <cell r="H579" t="str">
            <v>OK</v>
          </cell>
          <cell r="I579">
            <v>1.0397878503473934</v>
          </cell>
          <cell r="J579">
            <v>36814.78</v>
          </cell>
          <cell r="K579" t="str">
            <v>OK</v>
          </cell>
        </row>
        <row r="580">
          <cell r="A580" t="str">
            <v>MAT0318</v>
          </cell>
          <cell r="B580" t="str">
            <v>CHEGADA NO RAP DO CABO - DN 700mm</v>
          </cell>
          <cell r="C580" t="str">
            <v>un</v>
          </cell>
          <cell r="D580">
            <v>29620.6</v>
          </cell>
          <cell r="E580">
            <v>30213.011999999999</v>
          </cell>
          <cell r="F580">
            <v>30799.14</v>
          </cell>
          <cell r="G580" t="str">
            <v>OK</v>
          </cell>
          <cell r="H580" t="str">
            <v>OK</v>
          </cell>
          <cell r="I580">
            <v>1.0397878503473934</v>
          </cell>
          <cell r="J580">
            <v>36814.78</v>
          </cell>
          <cell r="K580" t="str">
            <v>OK</v>
          </cell>
        </row>
        <row r="581">
          <cell r="A581" t="str">
            <v>MAT0319</v>
          </cell>
          <cell r="B581" t="str">
            <v>LINHA DO ANEL DE MURIBECA - DN 700mm</v>
          </cell>
          <cell r="C581" t="str">
            <v>un</v>
          </cell>
          <cell r="D581">
            <v>29620.6</v>
          </cell>
          <cell r="E581">
            <v>30213.011999999999</v>
          </cell>
          <cell r="F581">
            <v>30799.14</v>
          </cell>
          <cell r="G581" t="str">
            <v>OK</v>
          </cell>
          <cell r="H581" t="str">
            <v>OK</v>
          </cell>
          <cell r="I581">
            <v>1.0397878503473934</v>
          </cell>
          <cell r="J581">
            <v>36814.78</v>
          </cell>
          <cell r="K581" t="str">
            <v>OK</v>
          </cell>
        </row>
        <row r="582">
          <cell r="A582" t="str">
            <v>MAT0320</v>
          </cell>
          <cell r="B582" t="str">
            <v>SAÍDA PARA DISTRIBUÍÇÃO DE PONTE DOS CARVALHOS - DN 400mm</v>
          </cell>
          <cell r="C582" t="str">
            <v>un</v>
          </cell>
          <cell r="D582">
            <v>12256.8</v>
          </cell>
          <cell r="E582">
            <v>12501.936</v>
          </cell>
          <cell r="F582">
            <v>12744.47</v>
          </cell>
          <cell r="G582" t="str">
            <v>OK</v>
          </cell>
          <cell r="H582" t="str">
            <v>OK</v>
          </cell>
          <cell r="I582">
            <v>1.0397877096795249</v>
          </cell>
          <cell r="J582">
            <v>15233.7</v>
          </cell>
          <cell r="K582" t="str">
            <v>OK</v>
          </cell>
        </row>
        <row r="583">
          <cell r="A583" t="str">
            <v>MAT0321</v>
          </cell>
          <cell r="B583" t="str">
            <v>SAÍDA PARA DISTRIBUIÇÃO DE PONTE DOS CARVALHOS - DN 300mm</v>
          </cell>
          <cell r="C583" t="str">
            <v>un</v>
          </cell>
          <cell r="D583">
            <v>8171.2</v>
          </cell>
          <cell r="E583">
            <v>8334.6239999999998</v>
          </cell>
          <cell r="F583">
            <v>8496.32</v>
          </cell>
          <cell r="G583" t="str">
            <v>OK</v>
          </cell>
          <cell r="H583" t="str">
            <v>OK</v>
          </cell>
          <cell r="I583">
            <v>1.0397885255531623</v>
          </cell>
          <cell r="J583">
            <v>10155.799999999999</v>
          </cell>
          <cell r="K583" t="str">
            <v>OK</v>
          </cell>
        </row>
        <row r="584">
          <cell r="A584" t="str">
            <v>MAT0322</v>
          </cell>
          <cell r="B584" t="str">
            <v>SAÍDA PARA PONTEZINHA - DN 250mm</v>
          </cell>
          <cell r="C584" t="str">
            <v>un</v>
          </cell>
          <cell r="D584">
            <v>7149.8</v>
          </cell>
          <cell r="E584">
            <v>7292.7960000000003</v>
          </cell>
          <cell r="F584">
            <v>7434.28</v>
          </cell>
          <cell r="G584" t="str">
            <v>OK</v>
          </cell>
          <cell r="H584" t="str">
            <v>OK</v>
          </cell>
          <cell r="I584">
            <v>1.0397885255531623</v>
          </cell>
          <cell r="J584">
            <v>8886.33</v>
          </cell>
          <cell r="K584" t="str">
            <v>OK</v>
          </cell>
        </row>
        <row r="585">
          <cell r="A585" t="str">
            <v>MAT0324</v>
          </cell>
          <cell r="B585" t="str">
            <v>NÍVEL DA BARRAGEM</v>
          </cell>
          <cell r="C585" t="str">
            <v>un</v>
          </cell>
          <cell r="D585">
            <v>5107</v>
          </cell>
          <cell r="E585">
            <v>5209.1400000000003</v>
          </cell>
          <cell r="F585">
            <v>5310.2</v>
          </cell>
          <cell r="G585" t="str">
            <v>OK</v>
          </cell>
          <cell r="H585" t="str">
            <v>OK</v>
          </cell>
          <cell r="I585">
            <v>1.0397885255531623</v>
          </cell>
          <cell r="J585">
            <v>6347.38</v>
          </cell>
          <cell r="K585" t="str">
            <v>OK</v>
          </cell>
        </row>
        <row r="586">
          <cell r="A586" t="str">
            <v>MAT0325</v>
          </cell>
          <cell r="B586" t="str">
            <v>RESERVATÓRIO DE ÁGUA TRATADA</v>
          </cell>
          <cell r="C586" t="str">
            <v>un</v>
          </cell>
          <cell r="D586">
            <v>5107</v>
          </cell>
          <cell r="E586">
            <v>5209.1400000000003</v>
          </cell>
          <cell r="F586">
            <v>5310.2</v>
          </cell>
          <cell r="G586" t="str">
            <v>OK</v>
          </cell>
          <cell r="H586" t="str">
            <v>OK</v>
          </cell>
          <cell r="I586">
            <v>1.0397885255531623</v>
          </cell>
          <cell r="J586">
            <v>6347.38</v>
          </cell>
          <cell r="K586" t="str">
            <v>OK</v>
          </cell>
        </row>
        <row r="587">
          <cell r="A587" t="str">
            <v>MAT0326</v>
          </cell>
          <cell r="B587" t="str">
            <v>RESERVATÓRIO DE LAVAVEM DOS FILTROS</v>
          </cell>
          <cell r="C587" t="str">
            <v>un</v>
          </cell>
          <cell r="D587">
            <v>5107</v>
          </cell>
          <cell r="E587">
            <v>5209.1400000000003</v>
          </cell>
          <cell r="F587">
            <v>5310.2</v>
          </cell>
          <cell r="G587" t="str">
            <v>OK</v>
          </cell>
          <cell r="H587" t="str">
            <v>OK</v>
          </cell>
          <cell r="I587">
            <v>1.0397885255531623</v>
          </cell>
          <cell r="J587">
            <v>6347.38</v>
          </cell>
          <cell r="K587" t="str">
            <v>OK</v>
          </cell>
        </row>
        <row r="588">
          <cell r="A588" t="str">
            <v>MAT0327</v>
          </cell>
          <cell r="B588" t="str">
            <v>RESERVATÓRIO DE APOIO EXISTENTE</v>
          </cell>
          <cell r="C588" t="str">
            <v>un</v>
          </cell>
          <cell r="D588">
            <v>5107</v>
          </cell>
          <cell r="E588">
            <v>5209.1400000000003</v>
          </cell>
          <cell r="F588">
            <v>5310.2</v>
          </cell>
          <cell r="G588" t="str">
            <v>OK</v>
          </cell>
          <cell r="H588" t="str">
            <v>OK</v>
          </cell>
          <cell r="I588">
            <v>1.0397885255531623</v>
          </cell>
          <cell r="J588">
            <v>6347.38</v>
          </cell>
          <cell r="K588" t="str">
            <v>OK</v>
          </cell>
        </row>
        <row r="589">
          <cell r="A589" t="str">
            <v>MAT0328</v>
          </cell>
          <cell r="B589" t="str">
            <v>TANQUE DE CONTATO E POÇO DE SUCÇÃO</v>
          </cell>
          <cell r="C589" t="str">
            <v>un</v>
          </cell>
          <cell r="D589">
            <v>5107</v>
          </cell>
          <cell r="E589">
            <v>5209.1400000000003</v>
          </cell>
          <cell r="F589">
            <v>5310.2</v>
          </cell>
          <cell r="G589" t="str">
            <v>OK</v>
          </cell>
          <cell r="H589" t="str">
            <v>OK</v>
          </cell>
          <cell r="I589">
            <v>1.0397885255531623</v>
          </cell>
          <cell r="J589">
            <v>6347.38</v>
          </cell>
          <cell r="K589" t="str">
            <v>OK</v>
          </cell>
        </row>
        <row r="590">
          <cell r="A590" t="str">
            <v>MAT0329</v>
          </cell>
          <cell r="B590" t="str">
            <v>RESERVATÓRIO APOIADO PONTE DOS CARVALHOS</v>
          </cell>
          <cell r="C590" t="str">
            <v>un</v>
          </cell>
          <cell r="D590">
            <v>5107</v>
          </cell>
          <cell r="E590">
            <v>5209.1400000000003</v>
          </cell>
          <cell r="F590">
            <v>5310.2</v>
          </cell>
          <cell r="G590" t="str">
            <v>OK</v>
          </cell>
          <cell r="H590" t="str">
            <v>OK</v>
          </cell>
          <cell r="I590">
            <v>1.0397885255531623</v>
          </cell>
          <cell r="J590">
            <v>6347.38</v>
          </cell>
          <cell r="K590" t="str">
            <v>OK</v>
          </cell>
        </row>
        <row r="591">
          <cell r="A591" t="str">
            <v>MAT0330</v>
          </cell>
          <cell r="B591" t="str">
            <v>RESERVATÓRIO APOIADO CABO</v>
          </cell>
          <cell r="C591" t="str">
            <v>un</v>
          </cell>
          <cell r="D591">
            <v>5107</v>
          </cell>
          <cell r="E591">
            <v>5209.1400000000003</v>
          </cell>
          <cell r="F591">
            <v>5310.2</v>
          </cell>
          <cell r="G591" t="str">
            <v>OK</v>
          </cell>
          <cell r="H591" t="str">
            <v>OK</v>
          </cell>
          <cell r="I591">
            <v>1.0397885255531623</v>
          </cell>
          <cell r="J591">
            <v>6347.38</v>
          </cell>
          <cell r="K591" t="str">
            <v>OK</v>
          </cell>
        </row>
        <row r="592">
          <cell r="A592" t="str">
            <v>MAT0331</v>
          </cell>
          <cell r="B592" t="str">
            <v>SAÍDA DA ELEVATÓRIA DE ÁGUA TRATADA</v>
          </cell>
          <cell r="C592" t="str">
            <v>un</v>
          </cell>
          <cell r="D592">
            <v>4085.6</v>
          </cell>
          <cell r="E592">
            <v>4167.3119999999999</v>
          </cell>
          <cell r="F592">
            <v>4248.16</v>
          </cell>
          <cell r="G592" t="str">
            <v>OK</v>
          </cell>
          <cell r="H592" t="str">
            <v>OK</v>
          </cell>
          <cell r="I592">
            <v>1.0397885255531623</v>
          </cell>
          <cell r="J592">
            <v>5077.8999999999996</v>
          </cell>
          <cell r="K592" t="str">
            <v>OK</v>
          </cell>
        </row>
        <row r="593">
          <cell r="A593" t="str">
            <v>MAT0332</v>
          </cell>
          <cell r="B593" t="str">
            <v>CONFECÇÃO DE CAIXA DE PROTEÇÃO, IMPLANTAÇÃO DOS SENSORES, CONEXÕES, ALIMENTAÇÃO ELÉTRICA - DN 400mm</v>
          </cell>
          <cell r="C593" t="str">
            <v>un</v>
          </cell>
          <cell r="D593">
            <v>15000</v>
          </cell>
          <cell r="E593">
            <v>16152.98</v>
          </cell>
          <cell r="F593">
            <v>16466.349999999999</v>
          </cell>
          <cell r="G593" t="str">
            <v>OK</v>
          </cell>
          <cell r="H593" t="str">
            <v>OK</v>
          </cell>
          <cell r="I593">
            <v>1.0977566666666665</v>
          </cell>
          <cell r="J593">
            <v>16152.98</v>
          </cell>
          <cell r="K593" t="str">
            <v>OK</v>
          </cell>
        </row>
        <row r="594">
          <cell r="A594" t="str">
            <v>MAT0333</v>
          </cell>
          <cell r="B594" t="str">
            <v>CONFECÇÃO DE CAIXA DE PROTEÇÃO, IMPLANTAÇÃO DOS SENSORES, CONEXÕES, ALIMENTAÇÃO ELÉTRICA - DN 250/300mm</v>
          </cell>
          <cell r="C594" t="str">
            <v>un</v>
          </cell>
          <cell r="D594">
            <v>13000</v>
          </cell>
          <cell r="E594">
            <v>13999.25</v>
          </cell>
          <cell r="F594">
            <v>14270.84</v>
          </cell>
          <cell r="G594" t="str">
            <v>OK</v>
          </cell>
          <cell r="H594" t="str">
            <v>OK</v>
          </cell>
          <cell r="I594">
            <v>1.0977569230769231</v>
          </cell>
          <cell r="J594">
            <v>13999.25</v>
          </cell>
          <cell r="K594" t="str">
            <v>OK</v>
          </cell>
        </row>
        <row r="595">
          <cell r="A595" t="str">
            <v>MAT0334</v>
          </cell>
          <cell r="B595" t="str">
            <v>AQUISIÇÃO DE MATERIAIS E EQUIPAMENTOS  PARA MONTAGEM  E OPERAÇÃO DO SISTEMA SUPERVISÓRIO, PERMITINDO O CONTROLE DE VAZÃO, PRESSÃO E NÍVEL DAS UNIDADES DO SISTEMA.</v>
          </cell>
          <cell r="C595" t="str">
            <v>un</v>
          </cell>
          <cell r="D595">
            <v>143404.56</v>
          </cell>
          <cell r="E595">
            <v>146272.65119999999</v>
          </cell>
          <cell r="F595">
            <v>149110.34</v>
          </cell>
          <cell r="G595" t="str">
            <v>OK</v>
          </cell>
          <cell r="H595" t="str">
            <v>OK</v>
          </cell>
          <cell r="I595">
            <v>1.039787995583962</v>
          </cell>
          <cell r="J595">
            <v>178234.29</v>
          </cell>
          <cell r="K595" t="str">
            <v>OK</v>
          </cell>
        </row>
        <row r="596">
          <cell r="A596" t="str">
            <v>MAT0335</v>
          </cell>
          <cell r="B596" t="str">
            <v>ELABORAÇÃO DE ESTUDOS E PROJETOS ELETRO-ELERÔNICO; SERVIÇOS DE ENGENHARIA  ENGENHARIA ELETRO-ELETRÔNICA; ENGENHARIA DE SOFTWARE E INSTALÇÃO E MONTAGEM, ELETRO-ELETRÔNICA DOS EQUIPAMENTOS E MATERIAIS; START UP E PRÉ-OPERAÇÃO ASSISTIDA DO SISTEMA E TREINAME</v>
          </cell>
          <cell r="C596" t="str">
            <v>un</v>
          </cell>
          <cell r="D596">
            <v>135000</v>
          </cell>
          <cell r="E596">
            <v>145376.78</v>
          </cell>
          <cell r="F596">
            <v>148197.09</v>
          </cell>
          <cell r="G596" t="str">
            <v>OK</v>
          </cell>
          <cell r="H596" t="str">
            <v>OK</v>
          </cell>
          <cell r="I596">
            <v>1.0977562222222221</v>
          </cell>
          <cell r="J596">
            <v>145376.78</v>
          </cell>
          <cell r="K596" t="str">
            <v>OK</v>
          </cell>
        </row>
        <row r="597">
          <cell r="A597" t="str">
            <v>MAT0336</v>
          </cell>
          <cell r="B597" t="str">
            <v>VÁLVULA BORBOLETA WAFER - RW2 10 250mm</v>
          </cell>
          <cell r="C597" t="str">
            <v>ud</v>
          </cell>
          <cell r="D597">
            <v>745.62</v>
          </cell>
          <cell r="E597">
            <v>760.53240000000005</v>
          </cell>
          <cell r="F597">
            <v>775.29</v>
          </cell>
          <cell r="G597" t="str">
            <v>OK</v>
          </cell>
          <cell r="H597" t="str">
            <v>OK</v>
          </cell>
          <cell r="I597">
            <v>1.0397923875432526</v>
          </cell>
          <cell r="J597">
            <v>927.36</v>
          </cell>
          <cell r="K597" t="str">
            <v>OK</v>
          </cell>
        </row>
        <row r="598">
          <cell r="A598" t="str">
            <v>MAT0337</v>
          </cell>
          <cell r="B598" t="str">
            <v>TOCO COM FLANGES - TOF 10 250x0,50m</v>
          </cell>
          <cell r="C598" t="str">
            <v>ud</v>
          </cell>
          <cell r="D598">
            <v>917.95</v>
          </cell>
          <cell r="E598">
            <v>847.49</v>
          </cell>
          <cell r="F598">
            <v>863.93</v>
          </cell>
          <cell r="G598" t="str">
            <v>OK</v>
          </cell>
          <cell r="H598" t="str">
            <v>OK</v>
          </cell>
          <cell r="I598">
            <v>0.94115147883871664</v>
          </cell>
          <cell r="J598">
            <v>847.49</v>
          </cell>
          <cell r="K598" t="str">
            <v>OK</v>
          </cell>
        </row>
        <row r="599">
          <cell r="A599" t="str">
            <v>MAT0338</v>
          </cell>
          <cell r="B599" t="str">
            <v>VÁLVULA BORBOLETA C/ FLANGES - VBF 10 250mm</v>
          </cell>
          <cell r="C599" t="str">
            <v>ud</v>
          </cell>
          <cell r="D599">
            <v>10046.32</v>
          </cell>
          <cell r="E599">
            <v>10247.2464</v>
          </cell>
          <cell r="F599">
            <v>10446.040000000001</v>
          </cell>
          <cell r="G599" t="str">
            <v>OK</v>
          </cell>
          <cell r="H599" t="str">
            <v>OK</v>
          </cell>
          <cell r="I599">
            <v>1.0397877033580456</v>
          </cell>
          <cell r="J599">
            <v>12486.35</v>
          </cell>
          <cell r="K599" t="str">
            <v>OK</v>
          </cell>
        </row>
        <row r="600">
          <cell r="A600" t="str">
            <v>MAT0339</v>
          </cell>
          <cell r="B600" t="str">
            <v>FLANGE CEGO - FC 10 250mm</v>
          </cell>
          <cell r="C600" t="str">
            <v>ud</v>
          </cell>
          <cell r="D600">
            <v>322.77</v>
          </cell>
          <cell r="E600">
            <v>329.22539999999998</v>
          </cell>
          <cell r="F600">
            <v>335.61</v>
          </cell>
          <cell r="G600" t="str">
            <v>OK</v>
          </cell>
          <cell r="H600" t="str">
            <v>OK</v>
          </cell>
          <cell r="I600">
            <v>1.0397806487591785</v>
          </cell>
          <cell r="J600">
            <v>401.16</v>
          </cell>
          <cell r="K600" t="str">
            <v>OK</v>
          </cell>
        </row>
        <row r="601">
          <cell r="A601" t="str">
            <v>MAT0340</v>
          </cell>
          <cell r="B601" t="str">
            <v>JUNÇÃO EM Y - YFF 10 250X250mm</v>
          </cell>
          <cell r="C601" t="str">
            <v>ud</v>
          </cell>
          <cell r="D601">
            <v>1376.9</v>
          </cell>
          <cell r="E601">
            <v>1404.4380000000001</v>
          </cell>
          <cell r="F601">
            <v>1431.68</v>
          </cell>
          <cell r="G601" t="str">
            <v>OK</v>
          </cell>
          <cell r="H601" t="str">
            <v>OK</v>
          </cell>
          <cell r="I601">
            <v>1.0397850243300166</v>
          </cell>
          <cell r="J601">
            <v>1711.32</v>
          </cell>
          <cell r="K601" t="str">
            <v>OK</v>
          </cell>
        </row>
        <row r="602">
          <cell r="A602" t="str">
            <v>MAT0341</v>
          </cell>
          <cell r="B602" t="str">
            <v>TUBO FLANGE E PONTA - TFP 10 250x1,70m</v>
          </cell>
          <cell r="C602" t="str">
            <v>ud</v>
          </cell>
          <cell r="D602">
            <v>1342.5</v>
          </cell>
          <cell r="E602">
            <v>1369.3500000000001</v>
          </cell>
          <cell r="F602">
            <v>1395.92</v>
          </cell>
          <cell r="G602" t="str">
            <v>OK</v>
          </cell>
          <cell r="H602" t="str">
            <v>OK</v>
          </cell>
          <cell r="I602">
            <v>1.0397914338919927</v>
          </cell>
          <cell r="J602">
            <v>1668.55</v>
          </cell>
          <cell r="K602" t="str">
            <v>OK</v>
          </cell>
        </row>
        <row r="603">
          <cell r="A603" t="str">
            <v>MAT0342</v>
          </cell>
          <cell r="B603" t="str">
            <v>JUNTA GIBAULT - JGI 10 250mm</v>
          </cell>
          <cell r="C603" t="str">
            <v>ud</v>
          </cell>
          <cell r="D603">
            <v>572.29</v>
          </cell>
          <cell r="E603">
            <v>473.72</v>
          </cell>
          <cell r="F603">
            <v>482.91</v>
          </cell>
          <cell r="G603" t="str">
            <v>OK</v>
          </cell>
          <cell r="H603" t="str">
            <v>OK</v>
          </cell>
          <cell r="I603">
            <v>0.84382044068566642</v>
          </cell>
          <cell r="J603">
            <v>473.72</v>
          </cell>
          <cell r="K603" t="str">
            <v>OK</v>
          </cell>
        </row>
        <row r="604">
          <cell r="A604" t="str">
            <v>MAT0343</v>
          </cell>
          <cell r="B604" t="str">
            <v>TUBO COM FLANGES - TFL 10 250x5,80m</v>
          </cell>
          <cell r="C604" t="str">
            <v>ud</v>
          </cell>
          <cell r="D604">
            <v>4542.1000000000004</v>
          </cell>
          <cell r="E604">
            <v>4381.34</v>
          </cell>
          <cell r="F604">
            <v>4466.34</v>
          </cell>
          <cell r="G604" t="str">
            <v>OK</v>
          </cell>
          <cell r="H604" t="str">
            <v>OK</v>
          </cell>
          <cell r="I604">
            <v>0.98332049052200521</v>
          </cell>
          <cell r="J604">
            <v>4381.34</v>
          </cell>
          <cell r="K604" t="str">
            <v>OK</v>
          </cell>
        </row>
        <row r="605">
          <cell r="A605" t="str">
            <v>MAT0344</v>
          </cell>
          <cell r="B605" t="str">
            <v>TUBO COM FLANGES - TFL 10 250x5,50m</v>
          </cell>
          <cell r="C605" t="str">
            <v>ud</v>
          </cell>
          <cell r="D605">
            <v>4330.46</v>
          </cell>
          <cell r="E605">
            <v>4212.58</v>
          </cell>
          <cell r="F605">
            <v>4294.3</v>
          </cell>
          <cell r="G605" t="str">
            <v>OK</v>
          </cell>
          <cell r="H605" t="str">
            <v>OK</v>
          </cell>
          <cell r="I605">
            <v>0.99164984782217136</v>
          </cell>
          <cell r="J605">
            <v>4212.58</v>
          </cell>
          <cell r="K605" t="str">
            <v>OK</v>
          </cell>
        </row>
        <row r="606">
          <cell r="A606" t="str">
            <v>MAT0345</v>
          </cell>
          <cell r="B606" t="str">
            <v>CURVA 90° COM FLANGES - C 90FF 250mm</v>
          </cell>
          <cell r="C606" t="str">
            <v>ud</v>
          </cell>
          <cell r="D606">
            <v>791.74</v>
          </cell>
          <cell r="E606">
            <v>756.77</v>
          </cell>
          <cell r="F606">
            <v>771.45</v>
          </cell>
          <cell r="G606" t="str">
            <v>OK</v>
          </cell>
          <cell r="H606" t="str">
            <v>OK</v>
          </cell>
          <cell r="I606">
            <v>0.9743729001945084</v>
          </cell>
          <cell r="J606">
            <v>756.77</v>
          </cell>
          <cell r="K606" t="str">
            <v>OK</v>
          </cell>
        </row>
        <row r="607">
          <cell r="A607" t="str">
            <v>MAT0346</v>
          </cell>
          <cell r="B607" t="str">
            <v>TUBO FLANGE E PONTA - TFP 10 250x5,35m</v>
          </cell>
          <cell r="C607" t="str">
            <v>ud</v>
          </cell>
          <cell r="D607">
            <v>3368.36</v>
          </cell>
          <cell r="E607">
            <v>2811.88</v>
          </cell>
          <cell r="F607">
            <v>2866.43</v>
          </cell>
          <cell r="G607" t="str">
            <v>OK</v>
          </cell>
          <cell r="H607" t="str">
            <v>OK</v>
          </cell>
          <cell r="I607">
            <v>0.85098683038630063</v>
          </cell>
          <cell r="J607">
            <v>2811.88</v>
          </cell>
          <cell r="K607" t="str">
            <v>OK</v>
          </cell>
        </row>
        <row r="608">
          <cell r="A608" t="str">
            <v>MAT0347</v>
          </cell>
          <cell r="B608" t="str">
            <v>TUBO FLANGE E PONTA - TFP 10 250x2,20m</v>
          </cell>
          <cell r="C608" t="str">
            <v>ud</v>
          </cell>
          <cell r="D608">
            <v>1631.89</v>
          </cell>
          <cell r="E608">
            <v>1479.03</v>
          </cell>
          <cell r="F608">
            <v>1507.72</v>
          </cell>
          <cell r="G608" t="str">
            <v>OK</v>
          </cell>
          <cell r="H608" t="str">
            <v>OK</v>
          </cell>
          <cell r="I608">
            <v>0.92391031258234313</v>
          </cell>
          <cell r="J608">
            <v>1479.03</v>
          </cell>
          <cell r="K608" t="str">
            <v>OK</v>
          </cell>
        </row>
        <row r="609">
          <cell r="A609" t="str">
            <v>MAT0348</v>
          </cell>
          <cell r="B609" t="str">
            <v>CURVA 90/ JGS - C 90JGS 250mm</v>
          </cell>
          <cell r="C609" t="str">
            <v>ud</v>
          </cell>
          <cell r="D609">
            <v>799.09</v>
          </cell>
          <cell r="E609">
            <v>779.56</v>
          </cell>
          <cell r="F609">
            <v>794.68</v>
          </cell>
          <cell r="G609" t="str">
            <v>OK</v>
          </cell>
          <cell r="H609" t="str">
            <v>OK</v>
          </cell>
          <cell r="I609">
            <v>0.9944812223904691</v>
          </cell>
          <cell r="J609">
            <v>779.56</v>
          </cell>
          <cell r="K609" t="str">
            <v>OK</v>
          </cell>
        </row>
        <row r="610">
          <cell r="A610" t="str">
            <v>MAT0349</v>
          </cell>
          <cell r="B610" t="str">
            <v>TUBO FLANGE E PONTA - TFP10 300X 2,90m</v>
          </cell>
          <cell r="C610" t="str">
            <v>ud</v>
          </cell>
          <cell r="D610">
            <v>2413.4499999999998</v>
          </cell>
          <cell r="E610">
            <v>2159.4499999999998</v>
          </cell>
          <cell r="F610">
            <v>2201.34</v>
          </cell>
          <cell r="G610" t="str">
            <v>OK</v>
          </cell>
          <cell r="H610" t="str">
            <v>OK</v>
          </cell>
          <cell r="I610">
            <v>0.91211336468540893</v>
          </cell>
          <cell r="J610">
            <v>2159.4499999999998</v>
          </cell>
          <cell r="K610" t="str">
            <v>OK</v>
          </cell>
        </row>
        <row r="611">
          <cell r="A611" t="str">
            <v>MAT0350</v>
          </cell>
          <cell r="B611" t="str">
            <v>TUBO FLANGE E PONTA - TFP10  300X 5,80m</v>
          </cell>
          <cell r="C611" t="str">
            <v>ud</v>
          </cell>
          <cell r="D611">
            <v>4451.7700000000004</v>
          </cell>
          <cell r="E611">
            <v>4318.8900000000003</v>
          </cell>
          <cell r="F611">
            <v>4402.68</v>
          </cell>
          <cell r="G611" t="str">
            <v>OK</v>
          </cell>
          <cell r="H611" t="str">
            <v>OK</v>
          </cell>
          <cell r="I611">
            <v>0.98897292537574943</v>
          </cell>
          <cell r="J611">
            <v>4318.8900000000003</v>
          </cell>
          <cell r="K611" t="str">
            <v>OK</v>
          </cell>
        </row>
        <row r="612">
          <cell r="A612" t="str">
            <v>MAT0351</v>
          </cell>
          <cell r="B612" t="str">
            <v>TK9JE PB 300X 6,00m</v>
          </cell>
          <cell r="C612" t="str">
            <v>ud</v>
          </cell>
          <cell r="D612">
            <v>308.10000000000002</v>
          </cell>
          <cell r="E612">
            <v>314.262</v>
          </cell>
          <cell r="F612">
            <v>320.36</v>
          </cell>
          <cell r="G612" t="str">
            <v>OK</v>
          </cell>
          <cell r="H612" t="str">
            <v>OK</v>
          </cell>
          <cell r="I612">
            <v>1.0397922752353133</v>
          </cell>
          <cell r="J612">
            <v>382.93</v>
          </cell>
          <cell r="K612" t="str">
            <v>OK</v>
          </cell>
        </row>
        <row r="613">
          <cell r="A613" t="str">
            <v>MAT0352</v>
          </cell>
          <cell r="B613" t="str">
            <v>TK9JE PB 300X5,20m</v>
          </cell>
          <cell r="C613" t="str">
            <v>ud</v>
          </cell>
          <cell r="D613">
            <v>308.10000000000002</v>
          </cell>
          <cell r="E613">
            <v>314.262</v>
          </cell>
          <cell r="F613">
            <v>320.36</v>
          </cell>
          <cell r="G613" t="str">
            <v>OK</v>
          </cell>
          <cell r="H613" t="str">
            <v>OK</v>
          </cell>
          <cell r="I613">
            <v>1.0397922752353133</v>
          </cell>
          <cell r="J613">
            <v>382.93</v>
          </cell>
          <cell r="K613" t="str">
            <v>OK</v>
          </cell>
        </row>
        <row r="614">
          <cell r="A614" t="str">
            <v>MAT0353</v>
          </cell>
          <cell r="B614" t="str">
            <v>CURVA 90° JE - C 90JE BB 300mm</v>
          </cell>
          <cell r="C614" t="str">
            <v>ud</v>
          </cell>
          <cell r="D614">
            <v>1106.46</v>
          </cell>
          <cell r="E614">
            <v>928.57</v>
          </cell>
          <cell r="F614">
            <v>946.58</v>
          </cell>
          <cell r="G614" t="str">
            <v>OK</v>
          </cell>
          <cell r="H614" t="str">
            <v>OK</v>
          </cell>
          <cell r="I614">
            <v>0.85550313612783113</v>
          </cell>
          <cell r="J614">
            <v>928.57</v>
          </cell>
          <cell r="K614" t="str">
            <v>OK</v>
          </cell>
        </row>
        <row r="615">
          <cell r="A615" t="str">
            <v>MAT0354</v>
          </cell>
          <cell r="B615" t="str">
            <v>TUBO CILÍNDRICO - TK9 JE PP 300x1,20m</v>
          </cell>
          <cell r="C615" t="str">
            <v>ud</v>
          </cell>
          <cell r="D615">
            <v>61.62</v>
          </cell>
          <cell r="E615">
            <v>61.62</v>
          </cell>
          <cell r="F615">
            <v>75.790000000000006</v>
          </cell>
          <cell r="G615" t="str">
            <v>OK</v>
          </cell>
          <cell r="H615" t="str">
            <v>OK</v>
          </cell>
          <cell r="I615">
            <v>1.2299578059071732</v>
          </cell>
          <cell r="J615">
            <v>77.33</v>
          </cell>
          <cell r="K615" t="str">
            <v>B</v>
          </cell>
        </row>
        <row r="616">
          <cell r="A616" t="str">
            <v>MAT0355</v>
          </cell>
          <cell r="B616" t="str">
            <v>COMPORTA QUADRADA - CQU 1200mm</v>
          </cell>
          <cell r="C616" t="str">
            <v>ud</v>
          </cell>
          <cell r="D616">
            <v>72672.56</v>
          </cell>
          <cell r="E616">
            <v>74126.011199999994</v>
          </cell>
          <cell r="F616">
            <v>75564.06</v>
          </cell>
          <cell r="G616" t="str">
            <v>OK</v>
          </cell>
          <cell r="H616" t="str">
            <v>OK</v>
          </cell>
          <cell r="I616">
            <v>1.0397880575556993</v>
          </cell>
          <cell r="J616">
            <v>104675.7</v>
          </cell>
          <cell r="K616" t="str">
            <v>OK</v>
          </cell>
        </row>
        <row r="617">
          <cell r="A617" t="str">
            <v>MAT0356</v>
          </cell>
          <cell r="B617" t="str">
            <v>PEDESTAL DE MANOBRA SIMPLES - PMS 01</v>
          </cell>
          <cell r="C617" t="str">
            <v>ud</v>
          </cell>
          <cell r="D617">
            <v>1516.61</v>
          </cell>
          <cell r="E617">
            <v>1546.9422</v>
          </cell>
          <cell r="F617">
            <v>1576.95</v>
          </cell>
          <cell r="G617" t="str">
            <v>OK</v>
          </cell>
          <cell r="H617" t="str">
            <v>OK</v>
          </cell>
          <cell r="I617">
            <v>1.0397861018983128</v>
          </cell>
          <cell r="J617">
            <v>1903.23</v>
          </cell>
          <cell r="K617" t="str">
            <v>OK</v>
          </cell>
        </row>
        <row r="618">
          <cell r="A618" t="str">
            <v>MAT0357</v>
          </cell>
          <cell r="B618" t="str">
            <v>PEDESTAL DE SUSPENSÃO COM ENGRENAGEM - REDUÇÃO SIMPLES - PESI 41</v>
          </cell>
          <cell r="C618" t="str">
            <v>ud</v>
          </cell>
          <cell r="D618">
            <v>13346.13</v>
          </cell>
          <cell r="E618">
            <v>12411.900900000001</v>
          </cell>
          <cell r="F618">
            <v>12652.69</v>
          </cell>
          <cell r="G618" t="str">
            <v>OK</v>
          </cell>
          <cell r="H618" t="str">
            <v>OK</v>
          </cell>
          <cell r="I618">
            <v>0.94804186681832125</v>
          </cell>
          <cell r="J618">
            <v>16142.68</v>
          </cell>
          <cell r="K618" t="str">
            <v>OK</v>
          </cell>
        </row>
        <row r="619">
          <cell r="A619" t="str">
            <v>MAT0358</v>
          </cell>
          <cell r="B619" t="str">
            <v>ARRUELA DE BORRACHA PARA FLANGE - ABF 250mm</v>
          </cell>
          <cell r="C619" t="str">
            <v>ud</v>
          </cell>
          <cell r="D619">
            <v>5</v>
          </cell>
          <cell r="E619">
            <v>5.0999999999999996</v>
          </cell>
          <cell r="F619">
            <v>5.2</v>
          </cell>
          <cell r="G619" t="str">
            <v>OK</v>
          </cell>
          <cell r="H619" t="str">
            <v>OK</v>
          </cell>
          <cell r="I619">
            <v>1.04</v>
          </cell>
          <cell r="J619">
            <v>27.35</v>
          </cell>
          <cell r="K619" t="str">
            <v>OK</v>
          </cell>
        </row>
        <row r="620">
          <cell r="A620" t="str">
            <v>MAT0359</v>
          </cell>
          <cell r="B620" t="str">
            <v>FLUTUADOR DE FIBRA DE VIDRO</v>
          </cell>
          <cell r="C620" t="str">
            <v>ud</v>
          </cell>
          <cell r="D620">
            <v>4300.09</v>
          </cell>
          <cell r="E620">
            <v>4386.0918000000001</v>
          </cell>
          <cell r="F620">
            <v>4471.18</v>
          </cell>
          <cell r="G620" t="str">
            <v>OK</v>
          </cell>
          <cell r="H620" t="str">
            <v>OK</v>
          </cell>
          <cell r="I620">
            <v>1.0397875393305722</v>
          </cell>
          <cell r="J620">
            <v>5344.49</v>
          </cell>
          <cell r="K620" t="str">
            <v>OK</v>
          </cell>
        </row>
        <row r="621">
          <cell r="A621" t="str">
            <v>MAT0360</v>
          </cell>
          <cell r="B621" t="str">
            <v>CONJUNTO MOTO-BOMBA, EIXO VERTICAL,INSTALAÇÃO AO TEMPO, Q=150M3/H X AMT= 70MCA MOTOR 75HP/2 PÓLOS</v>
          </cell>
          <cell r="C621" t="str">
            <v>ud</v>
          </cell>
          <cell r="D621">
            <v>40856</v>
          </cell>
          <cell r="E621">
            <v>41673.120000000003</v>
          </cell>
          <cell r="F621">
            <v>42481.58</v>
          </cell>
          <cell r="G621" t="str">
            <v>OK</v>
          </cell>
          <cell r="H621" t="str">
            <v>OK</v>
          </cell>
          <cell r="I621">
            <v>1.03978803602898</v>
          </cell>
          <cell r="J621">
            <v>51271.27</v>
          </cell>
          <cell r="K621" t="str">
            <v>OK</v>
          </cell>
        </row>
        <row r="622">
          <cell r="A622" t="str">
            <v>MAT0361</v>
          </cell>
          <cell r="B622" t="str">
            <v>Resistência a tração (ao limite Maximo): entre 70 kn/m 96,3 kn/m.</v>
          </cell>
          <cell r="C622" t="str">
            <v>ud</v>
          </cell>
          <cell r="D622">
            <v>50628.24</v>
          </cell>
          <cell r="E622">
            <v>51640.804799999998</v>
          </cell>
          <cell r="F622">
            <v>52642.64</v>
          </cell>
          <cell r="G622" t="str">
            <v>OK</v>
          </cell>
          <cell r="H622" t="str">
            <v>OK</v>
          </cell>
          <cell r="I622">
            <v>1.0397880708474163</v>
          </cell>
          <cell r="J622">
            <v>63534.71</v>
          </cell>
          <cell r="K622" t="str">
            <v>OK</v>
          </cell>
        </row>
        <row r="623">
          <cell r="A623" t="str">
            <v>MAT0362</v>
          </cell>
          <cell r="B623" t="str">
            <v>Bomba de deslocamento positivo de 7,5 m³/h.</v>
          </cell>
          <cell r="C623" t="str">
            <v>Und</v>
          </cell>
          <cell r="D623">
            <v>8171.2</v>
          </cell>
          <cell r="E623">
            <v>8334.6239999999998</v>
          </cell>
          <cell r="F623">
            <v>8496.32</v>
          </cell>
          <cell r="G623" t="str">
            <v>OK</v>
          </cell>
          <cell r="H623" t="str">
            <v>OK</v>
          </cell>
          <cell r="I623">
            <v>1.0397885255531623</v>
          </cell>
          <cell r="J623">
            <v>10155.799999999999</v>
          </cell>
          <cell r="K623" t="str">
            <v>OK</v>
          </cell>
        </row>
        <row r="624">
          <cell r="A624" t="str">
            <v>MAT0363</v>
          </cell>
          <cell r="B624" t="str">
            <v>Agitador lento de polímero;</v>
          </cell>
          <cell r="C624" t="str">
            <v>Und</v>
          </cell>
          <cell r="D624">
            <v>5515.56</v>
          </cell>
          <cell r="E624">
            <v>5625.8712000000005</v>
          </cell>
          <cell r="F624">
            <v>5735.01</v>
          </cell>
          <cell r="G624" t="str">
            <v>OK</v>
          </cell>
          <cell r="H624" t="str">
            <v>OK</v>
          </cell>
          <cell r="I624">
            <v>1.0397874377216456</v>
          </cell>
          <cell r="J624">
            <v>6855.17</v>
          </cell>
          <cell r="K624" t="str">
            <v>OK</v>
          </cell>
        </row>
        <row r="625">
          <cell r="A625" t="str">
            <v>MAT0364</v>
          </cell>
          <cell r="B625" t="str">
            <v>Fornecimento de conexões, tubulações, válvulas e registros.</v>
          </cell>
          <cell r="C625" t="str">
            <v>vb</v>
          </cell>
          <cell r="D625">
            <v>4085.6</v>
          </cell>
          <cell r="E625">
            <v>4167.3119999999999</v>
          </cell>
          <cell r="F625">
            <v>4248.16</v>
          </cell>
          <cell r="G625" t="str">
            <v>OK</v>
          </cell>
          <cell r="H625" t="str">
            <v>OK</v>
          </cell>
          <cell r="I625">
            <v>1.0397885255531623</v>
          </cell>
          <cell r="J625">
            <v>5077.8999999999996</v>
          </cell>
          <cell r="K625" t="str">
            <v>OK</v>
          </cell>
        </row>
        <row r="626">
          <cell r="A626" t="str">
            <v>MAT0365</v>
          </cell>
          <cell r="B626" t="str">
            <v>Fornecimento de painel elétrico com inversor de frequência inclusive energização.</v>
          </cell>
          <cell r="C626" t="str">
            <v>vb</v>
          </cell>
          <cell r="D626">
            <v>6128.4</v>
          </cell>
          <cell r="E626">
            <v>6250.9679999999998</v>
          </cell>
          <cell r="F626">
            <v>6372.24</v>
          </cell>
          <cell r="G626" t="str">
            <v>OK</v>
          </cell>
          <cell r="H626" t="str">
            <v>OK</v>
          </cell>
          <cell r="I626">
            <v>1.0397885255531623</v>
          </cell>
          <cell r="J626">
            <v>7616.85</v>
          </cell>
          <cell r="K626" t="str">
            <v>OK</v>
          </cell>
        </row>
        <row r="627">
          <cell r="A627" t="str">
            <v>MAT0366</v>
          </cell>
          <cell r="B627" t="str">
            <v>Bomba de lodo de deslocamento positivo de 25m³/h</v>
          </cell>
          <cell r="C627" t="str">
            <v>Und</v>
          </cell>
          <cell r="D627">
            <v>21653.68</v>
          </cell>
          <cell r="E627">
            <v>22086.7536</v>
          </cell>
          <cell r="F627">
            <v>22515.24</v>
          </cell>
          <cell r="G627" t="str">
            <v>OK</v>
          </cell>
          <cell r="H627" t="str">
            <v>OK</v>
          </cell>
          <cell r="I627">
            <v>1.0397881561009492</v>
          </cell>
          <cell r="J627">
            <v>26912.87</v>
          </cell>
          <cell r="K627" t="str">
            <v>OK</v>
          </cell>
        </row>
        <row r="628">
          <cell r="A628" t="str">
            <v>MAT0367</v>
          </cell>
          <cell r="B628" t="str">
            <v>Interligação com a saida do adensador de lodo.</v>
          </cell>
          <cell r="C628" t="str">
            <v>vb</v>
          </cell>
          <cell r="D628">
            <v>2070.79</v>
          </cell>
          <cell r="E628">
            <v>2112.2058000000002</v>
          </cell>
          <cell r="F628">
            <v>2153.1799999999998</v>
          </cell>
          <cell r="G628" t="str">
            <v>OK</v>
          </cell>
          <cell r="H628" t="str">
            <v>OK</v>
          </cell>
          <cell r="I628">
            <v>1.0397867480526755</v>
          </cell>
          <cell r="J628">
            <v>2573.73</v>
          </cell>
          <cell r="K628" t="str">
            <v>OK</v>
          </cell>
        </row>
        <row r="629">
          <cell r="A629" t="str">
            <v>MAT0368</v>
          </cell>
          <cell r="B629" t="str">
            <v>Tubo em aço carbono de 200 mm para recalque de lodo.</v>
          </cell>
          <cell r="C629" t="str">
            <v>m</v>
          </cell>
          <cell r="D629">
            <v>81.709999999999994</v>
          </cell>
          <cell r="E629">
            <v>83.344200000000001</v>
          </cell>
          <cell r="F629">
            <v>84.96</v>
          </cell>
          <cell r="G629" t="str">
            <v>OK</v>
          </cell>
          <cell r="H629" t="str">
            <v>OK</v>
          </cell>
          <cell r="I629">
            <v>1.0397748133643372</v>
          </cell>
          <cell r="J629">
            <v>101.56</v>
          </cell>
          <cell r="K629" t="str">
            <v>OK</v>
          </cell>
        </row>
        <row r="630">
          <cell r="A630" t="str">
            <v>MAT0369</v>
          </cell>
          <cell r="B630" t="str">
            <v>Fornecimento e instalação de manefold de interligação dos Geotubos.</v>
          </cell>
          <cell r="C630" t="str">
            <v>vb</v>
          </cell>
          <cell r="D630">
            <v>4596.3</v>
          </cell>
          <cell r="E630">
            <v>4688.2260000000006</v>
          </cell>
          <cell r="F630">
            <v>4779.18</v>
          </cell>
          <cell r="G630" t="str">
            <v>OK</v>
          </cell>
          <cell r="H630" t="str">
            <v>OK</v>
          </cell>
          <cell r="I630">
            <v>1.0397885255531623</v>
          </cell>
          <cell r="J630">
            <v>5712.64</v>
          </cell>
          <cell r="K630" t="str">
            <v>OK</v>
          </cell>
        </row>
        <row r="631">
          <cell r="A631" t="str">
            <v>MAT0370</v>
          </cell>
          <cell r="B631" t="str">
            <v>Fornecimento de válvulas, registros, abraçadeiras e acessórios.</v>
          </cell>
          <cell r="C631" t="str">
            <v>vb</v>
          </cell>
          <cell r="D631">
            <v>6128.4</v>
          </cell>
          <cell r="E631">
            <v>6250.9679999999998</v>
          </cell>
          <cell r="F631">
            <v>6372.24</v>
          </cell>
          <cell r="G631" t="str">
            <v>OK</v>
          </cell>
          <cell r="H631" t="str">
            <v>OK</v>
          </cell>
          <cell r="I631">
            <v>1.0397885255531623</v>
          </cell>
          <cell r="J631">
            <v>7616.85</v>
          </cell>
          <cell r="K631" t="str">
            <v>OK</v>
          </cell>
        </row>
        <row r="632">
          <cell r="A632" t="str">
            <v>MAT0371</v>
          </cell>
          <cell r="B632" t="str">
            <v>Fornecimento e instalação de painel elétrico com inversor de frequência.</v>
          </cell>
          <cell r="C632" t="str">
            <v>vb</v>
          </cell>
          <cell r="D632">
            <v>3574.9</v>
          </cell>
          <cell r="E632">
            <v>3646.3980000000001</v>
          </cell>
          <cell r="F632">
            <v>3717.14</v>
          </cell>
          <cell r="G632" t="str">
            <v>OK</v>
          </cell>
          <cell r="H632" t="str">
            <v>OK</v>
          </cell>
          <cell r="I632">
            <v>1.0397885255531623</v>
          </cell>
          <cell r="J632">
            <v>4443.16</v>
          </cell>
          <cell r="K632" t="str">
            <v>OK</v>
          </cell>
        </row>
        <row r="633">
          <cell r="A633" t="str">
            <v>MAT0372</v>
          </cell>
          <cell r="B633" t="str">
            <v>Fornecimento e instalação de mangueiras canaflex de 150 mm.</v>
          </cell>
          <cell r="C633" t="str">
            <v>m</v>
          </cell>
          <cell r="D633">
            <v>25.54</v>
          </cell>
          <cell r="E633">
            <v>26.050799999999999</v>
          </cell>
          <cell r="F633">
            <v>26.56</v>
          </cell>
          <cell r="G633" t="str">
            <v>OK</v>
          </cell>
          <cell r="H633" t="str">
            <v>OK</v>
          </cell>
          <cell r="I633">
            <v>1.0399373531714957</v>
          </cell>
          <cell r="J633">
            <v>31.74</v>
          </cell>
          <cell r="K633" t="str">
            <v>OK</v>
          </cell>
        </row>
        <row r="634">
          <cell r="A634" t="str">
            <v>MAT0373</v>
          </cell>
          <cell r="B634" t="str">
            <v>C 90 JGS10  250mm</v>
          </cell>
          <cell r="C634" t="str">
            <v>ud</v>
          </cell>
          <cell r="D634">
            <v>799.09</v>
          </cell>
          <cell r="E634">
            <v>779.56</v>
          </cell>
          <cell r="F634">
            <v>794.68</v>
          </cell>
          <cell r="G634" t="str">
            <v>OK</v>
          </cell>
          <cell r="H634" t="str">
            <v>OK</v>
          </cell>
          <cell r="I634">
            <v>0.9944812223904691</v>
          </cell>
          <cell r="J634">
            <v>779.56</v>
          </cell>
          <cell r="K634" t="str">
            <v>OK</v>
          </cell>
        </row>
        <row r="635">
          <cell r="A635" t="str">
            <v>MAT0374</v>
          </cell>
          <cell r="B635" t="str">
            <v>TFP 10 250mm X 1,70m</v>
          </cell>
          <cell r="C635" t="str">
            <v>ud</v>
          </cell>
          <cell r="D635">
            <v>1478.76</v>
          </cell>
          <cell r="E635">
            <v>1296.74</v>
          </cell>
          <cell r="F635">
            <v>1321.9</v>
          </cell>
          <cell r="G635" t="str">
            <v>OK</v>
          </cell>
          <cell r="H635" t="str">
            <v>OK</v>
          </cell>
          <cell r="I635">
            <v>0.89392463956287704</v>
          </cell>
          <cell r="J635">
            <v>1296.74</v>
          </cell>
          <cell r="K635" t="str">
            <v>OK</v>
          </cell>
        </row>
        <row r="636">
          <cell r="A636" t="str">
            <v>MAT0375</v>
          </cell>
          <cell r="B636" t="str">
            <v>C 90º FF 250mm</v>
          </cell>
          <cell r="C636" t="str">
            <v>ud</v>
          </cell>
          <cell r="D636">
            <v>791.74</v>
          </cell>
          <cell r="E636">
            <v>756.77</v>
          </cell>
          <cell r="F636">
            <v>771.45</v>
          </cell>
          <cell r="G636" t="str">
            <v>OK</v>
          </cell>
          <cell r="H636" t="str">
            <v>OK</v>
          </cell>
          <cell r="I636">
            <v>0.9743729001945084</v>
          </cell>
          <cell r="J636">
            <v>756.77</v>
          </cell>
          <cell r="K636" t="str">
            <v>OK</v>
          </cell>
        </row>
        <row r="637">
          <cell r="A637" t="str">
            <v>MAT0376</v>
          </cell>
          <cell r="B637" t="str">
            <v>TOF 10 250mm X 0,50m</v>
          </cell>
          <cell r="C637" t="str">
            <v>ud</v>
          </cell>
          <cell r="D637">
            <v>917.95</v>
          </cell>
          <cell r="E637">
            <v>831.42</v>
          </cell>
          <cell r="F637">
            <v>847.55</v>
          </cell>
          <cell r="G637" t="str">
            <v>OK</v>
          </cell>
          <cell r="H637" t="str">
            <v>OK</v>
          </cell>
          <cell r="I637">
            <v>0.92330736968244453</v>
          </cell>
          <cell r="J637">
            <v>831.42</v>
          </cell>
          <cell r="K637" t="str">
            <v>OK</v>
          </cell>
        </row>
        <row r="638">
          <cell r="A638" t="str">
            <v>MAT0377</v>
          </cell>
          <cell r="B638" t="str">
            <v>TFP 10 250mm X 0,70m</v>
          </cell>
          <cell r="C638" t="str">
            <v>ud</v>
          </cell>
          <cell r="D638">
            <v>841.19</v>
          </cell>
          <cell r="E638">
            <v>691.69</v>
          </cell>
          <cell r="F638">
            <v>705.11</v>
          </cell>
          <cell r="G638" t="str">
            <v>OK</v>
          </cell>
          <cell r="H638" t="str">
            <v>OK</v>
          </cell>
          <cell r="I638">
            <v>0.83822917533494212</v>
          </cell>
          <cell r="J638">
            <v>691.69</v>
          </cell>
          <cell r="K638" t="str">
            <v>OK</v>
          </cell>
        </row>
        <row r="639">
          <cell r="A639" t="str">
            <v>MAT0378</v>
          </cell>
          <cell r="B639" t="str">
            <v xml:space="preserve">Tubo de PVC/DEFoFo 250mm </v>
          </cell>
          <cell r="C639" t="str">
            <v>m</v>
          </cell>
          <cell r="D639">
            <v>103.65</v>
          </cell>
          <cell r="E639">
            <v>102.83</v>
          </cell>
          <cell r="F639">
            <v>104.82</v>
          </cell>
          <cell r="G639" t="str">
            <v>OK</v>
          </cell>
          <cell r="H639" t="str">
            <v>OK</v>
          </cell>
          <cell r="I639">
            <v>1.0112879884225758</v>
          </cell>
          <cell r="J639">
            <v>102.83</v>
          </cell>
          <cell r="K639" t="str">
            <v>OK</v>
          </cell>
        </row>
        <row r="640">
          <cell r="A640" t="str">
            <v>MAT0379</v>
          </cell>
          <cell r="B640" t="str">
            <v>Tubo de concreto armado para águas pluviais PA 1, DN=300mm.</v>
          </cell>
          <cell r="C640" t="str">
            <v>m</v>
          </cell>
          <cell r="D640">
            <v>42.31</v>
          </cell>
          <cell r="E640">
            <v>43.16</v>
          </cell>
          <cell r="F640">
            <v>44</v>
          </cell>
          <cell r="G640" t="str">
            <v>OK</v>
          </cell>
          <cell r="H640" t="str">
            <v>OK</v>
          </cell>
          <cell r="I640">
            <v>1.0399432758213187</v>
          </cell>
          <cell r="J640">
            <v>43.16</v>
          </cell>
          <cell r="K640" t="str">
            <v>OK</v>
          </cell>
        </row>
        <row r="641">
          <cell r="A641" t="str">
            <v>MAT0380</v>
          </cell>
          <cell r="B641" t="str">
            <v>Tubo de concreto armado para águas pluviais PA 1, DN=800mm.</v>
          </cell>
          <cell r="C641" t="str">
            <v>m</v>
          </cell>
          <cell r="D641">
            <v>137.26</v>
          </cell>
          <cell r="E641">
            <v>153.61000000000001</v>
          </cell>
          <cell r="F641">
            <v>156.59</v>
          </cell>
          <cell r="G641" t="str">
            <v>OK</v>
          </cell>
          <cell r="H641" t="str">
            <v>OK</v>
          </cell>
          <cell r="I641">
            <v>1.1408276264024479</v>
          </cell>
          <cell r="J641">
            <v>153.61000000000001</v>
          </cell>
          <cell r="K641" t="str">
            <v>OK</v>
          </cell>
        </row>
        <row r="642">
          <cell r="A642" t="str">
            <v>MAT0381</v>
          </cell>
          <cell r="B642" t="str">
            <v>Tubo de concreto armado para águas pluviais PA 1, DN=1000mm.</v>
          </cell>
          <cell r="C642" t="str">
            <v>m</v>
          </cell>
          <cell r="D642">
            <v>182.26</v>
          </cell>
          <cell r="E642">
            <v>201.85</v>
          </cell>
          <cell r="F642">
            <v>205.77</v>
          </cell>
          <cell r="G642" t="str">
            <v>OK</v>
          </cell>
          <cell r="H642" t="str">
            <v>OK</v>
          </cell>
          <cell r="I642">
            <v>1.1289915505322068</v>
          </cell>
          <cell r="J642">
            <v>201.85</v>
          </cell>
          <cell r="K642" t="str">
            <v>OK</v>
          </cell>
        </row>
        <row r="643">
          <cell r="A643" t="str">
            <v>MAT0382</v>
          </cell>
          <cell r="B643" t="str">
            <v>Curva 90° com flanges, em aço soldável. DN = 150mm</v>
          </cell>
          <cell r="C643" t="str">
            <v xml:space="preserve">un </v>
          </cell>
          <cell r="D643">
            <v>771.8</v>
          </cell>
          <cell r="E643">
            <v>771.8</v>
          </cell>
          <cell r="F643">
            <v>786.77</v>
          </cell>
          <cell r="G643" t="str">
            <v>OK</v>
          </cell>
          <cell r="H643" t="str">
            <v>OK</v>
          </cell>
          <cell r="I643">
            <v>1.0193962166364343</v>
          </cell>
          <cell r="J643" t="e">
            <v>#N/A</v>
          </cell>
          <cell r="K643" t="e">
            <v>#N/A</v>
          </cell>
        </row>
        <row r="644">
          <cell r="A644" t="str">
            <v>MAT0383</v>
          </cell>
          <cell r="B644" t="str">
            <v>Curva 90° com flanges, em ferro fundido DN = 150mm</v>
          </cell>
          <cell r="C644" t="str">
            <v xml:space="preserve">un </v>
          </cell>
          <cell r="D644">
            <v>254.27</v>
          </cell>
          <cell r="E644">
            <v>254.27</v>
          </cell>
          <cell r="F644">
            <v>259.2</v>
          </cell>
          <cell r="G644" t="str">
            <v>OK</v>
          </cell>
          <cell r="H644" t="str">
            <v>OK</v>
          </cell>
          <cell r="I644">
            <v>1.0193888386360954</v>
          </cell>
          <cell r="J644" t="e">
            <v>#N/A</v>
          </cell>
          <cell r="K644" t="e">
            <v>#N/A</v>
          </cell>
        </row>
        <row r="645">
          <cell r="A645" t="str">
            <v>MAT0384</v>
          </cell>
          <cell r="B645" t="str">
            <v>Curva 90° com flanges, em aço soldável. DN = 400mm</v>
          </cell>
          <cell r="C645" t="str">
            <v xml:space="preserve">un </v>
          </cell>
          <cell r="D645">
            <v>2733.93</v>
          </cell>
          <cell r="E645">
            <v>2733.93</v>
          </cell>
          <cell r="F645">
            <v>2786.97</v>
          </cell>
          <cell r="G645" t="str">
            <v>OK</v>
          </cell>
          <cell r="H645" t="str">
            <v>OK</v>
          </cell>
          <cell r="I645">
            <v>1.0194006430303628</v>
          </cell>
          <cell r="J645" t="e">
            <v>#N/A</v>
          </cell>
          <cell r="K645" t="e">
            <v>#N/A</v>
          </cell>
        </row>
        <row r="646">
          <cell r="A646" t="str">
            <v>MAT0385</v>
          </cell>
          <cell r="B646" t="str">
            <v>TOCO TFP16 DN=800MMX2,00M</v>
          </cell>
          <cell r="C646" t="str">
            <v>ud</v>
          </cell>
          <cell r="D646">
            <v>8840.82</v>
          </cell>
          <cell r="E646">
            <v>8840.82</v>
          </cell>
          <cell r="F646">
            <v>9012.33</v>
          </cell>
          <cell r="G646" t="str">
            <v>OK</v>
          </cell>
          <cell r="H646" t="str">
            <v>OK</v>
          </cell>
          <cell r="I646">
            <v>1.0193997841829152</v>
          </cell>
          <cell r="J646" t="e">
            <v>#N/A</v>
          </cell>
          <cell r="K646" t="e">
            <v>#N/A</v>
          </cell>
        </row>
        <row r="647">
          <cell r="A647" t="str">
            <v>MAT0386</v>
          </cell>
          <cell r="B647" t="str">
            <v>Curva 90° com flanges, em aço soldável. DN = 200mm</v>
          </cell>
          <cell r="C647" t="str">
            <v xml:space="preserve">un </v>
          </cell>
          <cell r="D647">
            <v>1023.82</v>
          </cell>
          <cell r="E647">
            <v>1023.82</v>
          </cell>
          <cell r="F647">
            <v>1043.68</v>
          </cell>
          <cell r="G647" t="str">
            <v>OK</v>
          </cell>
          <cell r="H647" t="str">
            <v>OK</v>
          </cell>
          <cell r="I647">
            <v>1.0193979410443241</v>
          </cell>
          <cell r="J647" t="e">
            <v>#N/A</v>
          </cell>
          <cell r="K647" t="e">
            <v>#N/A</v>
          </cell>
        </row>
        <row r="648">
          <cell r="A648" t="str">
            <v>MAT0387</v>
          </cell>
          <cell r="B648" t="str">
            <v>EXTREMIDADE PONTA FLANGE COM ABA DE VEDAÇÃO - EPFAV 10 300 X 0,50m</v>
          </cell>
          <cell r="C648" t="str">
            <v>ud</v>
          </cell>
          <cell r="D648">
            <v>1290.8599999999999</v>
          </cell>
          <cell r="E648">
            <v>1290.8599999999999</v>
          </cell>
          <cell r="F648">
            <v>1315.9</v>
          </cell>
          <cell r="G648" t="str">
            <v>OK</v>
          </cell>
          <cell r="H648" t="str">
            <v>OK</v>
          </cell>
          <cell r="I648">
            <v>1.0193979207660011</v>
          </cell>
          <cell r="J648" t="e">
            <v>#N/A</v>
          </cell>
          <cell r="K648" t="e">
            <v>#N/A</v>
          </cell>
        </row>
        <row r="649">
          <cell r="A649" t="str">
            <v>MAT0388</v>
          </cell>
          <cell r="B649" t="str">
            <v xml:space="preserve">Registro de gaveta com flanges e cilíndro pneumático.      DN = 150mm </v>
          </cell>
          <cell r="C649" t="str">
            <v xml:space="preserve">un </v>
          </cell>
          <cell r="D649">
            <v>1791.12</v>
          </cell>
          <cell r="E649">
            <v>1791.12</v>
          </cell>
          <cell r="F649">
            <v>1825.87</v>
          </cell>
          <cell r="G649" t="str">
            <v>OK</v>
          </cell>
          <cell r="H649" t="str">
            <v>OK</v>
          </cell>
          <cell r="I649">
            <v>1.0194012684800571</v>
          </cell>
          <cell r="J649" t="e">
            <v>#N/A</v>
          </cell>
          <cell r="K649" t="e">
            <v>#N/A</v>
          </cell>
        </row>
        <row r="650">
          <cell r="A650" t="str">
            <v>MAT0389</v>
          </cell>
          <cell r="B650" t="str">
            <v>REGISTRO DE GAVETA COM FLANGE E VOLANTE - REURO 23 300mm</v>
          </cell>
          <cell r="C650" t="str">
            <v>ud</v>
          </cell>
          <cell r="D650">
            <v>3640.09</v>
          </cell>
          <cell r="E650">
            <v>3640.09</v>
          </cell>
          <cell r="F650">
            <v>3710.71</v>
          </cell>
          <cell r="G650" t="str">
            <v>OK</v>
          </cell>
          <cell r="H650" t="str">
            <v>OK</v>
          </cell>
          <cell r="I650">
            <v>1.019400619215459</v>
          </cell>
          <cell r="J650" t="e">
            <v>#N/A</v>
          </cell>
          <cell r="K650" t="e">
            <v>#N/A</v>
          </cell>
        </row>
        <row r="651">
          <cell r="A651" t="str">
            <v>MONT001</v>
          </cell>
          <cell r="B651" t="str">
            <v>ACOPLAMENTO DOS NOVOS MOTORES AS BOMBAS EXISTENTES, INCLUSIVE FORNECIMENTO DAS LUVAS DE ACOPLAMENTO</v>
          </cell>
          <cell r="C651" t="str">
            <v>ud</v>
          </cell>
          <cell r="D651">
            <v>3000</v>
          </cell>
          <cell r="E651">
            <v>2271.4</v>
          </cell>
          <cell r="F651">
            <v>2315.4699999999998</v>
          </cell>
          <cell r="G651" t="str">
            <v>OK</v>
          </cell>
          <cell r="H651" t="str">
            <v>OK</v>
          </cell>
          <cell r="I651">
            <v>0.77182333333333331</v>
          </cell>
          <cell r="J651">
            <v>2271.4</v>
          </cell>
          <cell r="K651" t="str">
            <v>OK</v>
          </cell>
        </row>
        <row r="652">
          <cell r="A652" t="str">
            <v>MONT002</v>
          </cell>
          <cell r="B652" t="str">
            <v>AQUISIÇÃO E MONTAGEM DE MONOVIA EM PERFIL I DE 8" x 18,0m, COM CARRO E TALHA COM CAPACIDADES PARA CINCO TONELADAS</v>
          </cell>
          <cell r="C652" t="str">
            <v>vb</v>
          </cell>
          <cell r="D652">
            <v>8962.2000000000007</v>
          </cell>
          <cell r="E652">
            <v>9651.08</v>
          </cell>
          <cell r="F652">
            <v>9838.31</v>
          </cell>
          <cell r="G652" t="str">
            <v>OK</v>
          </cell>
          <cell r="H652" t="str">
            <v>OK</v>
          </cell>
          <cell r="I652">
            <v>1.097756131307045</v>
          </cell>
          <cell r="J652">
            <v>9651.08</v>
          </cell>
          <cell r="K652" t="str">
            <v>OK</v>
          </cell>
        </row>
        <row r="653">
          <cell r="A653" t="str">
            <v>MONT003</v>
          </cell>
          <cell r="B653" t="str">
            <v>ASSENTAMENTO DE TUBOS EM PVC PARA ESGOTAMENTO SANITÁRIO CONFORME NORMA 7362 DN = 300 mm COM ABRAÇADEIRAS CONFORME PROJETO</v>
          </cell>
          <cell r="C653" t="str">
            <v>vb</v>
          </cell>
          <cell r="D653">
            <v>845</v>
          </cell>
          <cell r="E653">
            <v>909.95</v>
          </cell>
          <cell r="F653">
            <v>927.6</v>
          </cell>
          <cell r="G653" t="str">
            <v>OK</v>
          </cell>
          <cell r="H653" t="str">
            <v>OK</v>
          </cell>
          <cell r="I653">
            <v>1.0977514792899408</v>
          </cell>
          <cell r="J653">
            <v>909.95</v>
          </cell>
          <cell r="K653" t="str">
            <v>OK</v>
          </cell>
        </row>
        <row r="654">
          <cell r="A654" t="str">
            <v>MONT004</v>
          </cell>
          <cell r="B654" t="str">
            <v>ASSENTAMENTO DE TUBULAÇÃO PB FERRO DÚCTIL OU FOFO COM CONEXÕES E PEÇAS ESPECIAIS COM DN=1000MM</v>
          </cell>
          <cell r="C654" t="str">
            <v>m</v>
          </cell>
          <cell r="D654">
            <v>21.29</v>
          </cell>
          <cell r="E654">
            <v>22.93</v>
          </cell>
          <cell r="F654">
            <v>23.37</v>
          </cell>
          <cell r="G654" t="str">
            <v>OK</v>
          </cell>
          <cell r="H654" t="str">
            <v>OK</v>
          </cell>
          <cell r="I654">
            <v>1.0976984499765148</v>
          </cell>
          <cell r="J654">
            <v>22.93</v>
          </cell>
          <cell r="K654" t="str">
            <v>OK</v>
          </cell>
        </row>
        <row r="655">
          <cell r="A655" t="str">
            <v>MONT005</v>
          </cell>
          <cell r="B655" t="str">
            <v>ASSENTAMENTO DE TUBULAÇÃO PB FERRO DÚCTIL OU FOFO COM CONEXÕES E PEÇAS ESPECIAIS COM DN=700MM</v>
          </cell>
          <cell r="C655" t="str">
            <v>m</v>
          </cell>
          <cell r="D655">
            <v>12.44</v>
          </cell>
          <cell r="E655">
            <v>13.4</v>
          </cell>
          <cell r="F655">
            <v>13.66</v>
          </cell>
          <cell r="G655" t="str">
            <v>OK</v>
          </cell>
          <cell r="H655" t="str">
            <v>OK</v>
          </cell>
          <cell r="I655">
            <v>1.0980707395498392</v>
          </cell>
          <cell r="J655">
            <v>13.4</v>
          </cell>
          <cell r="K655" t="str">
            <v>OK</v>
          </cell>
        </row>
        <row r="656">
          <cell r="A656" t="str">
            <v>MONT006</v>
          </cell>
          <cell r="B656" t="str">
            <v>Assentamento de tubos e peças em aço.     DN = 800mm</v>
          </cell>
          <cell r="C656" t="str">
            <v>m</v>
          </cell>
          <cell r="D656">
            <v>55.55</v>
          </cell>
          <cell r="E656">
            <v>46.13</v>
          </cell>
          <cell r="F656">
            <v>47.02</v>
          </cell>
          <cell r="G656" t="str">
            <v>OK</v>
          </cell>
          <cell r="H656" t="str">
            <v>OK</v>
          </cell>
          <cell r="I656">
            <v>0.84644464446444656</v>
          </cell>
          <cell r="J656">
            <v>46.13</v>
          </cell>
          <cell r="K656" t="str">
            <v>OK</v>
          </cell>
        </row>
        <row r="657">
          <cell r="A657" t="str">
            <v>MONT007</v>
          </cell>
          <cell r="B657" t="str">
            <v>ASSENTAMENTO DE TUBULAÇÃO PB FERRO DÚCTIL OU FOFO COM CONEXÕES E PEÇAS ESPECIAIS COM DN-600MM</v>
          </cell>
          <cell r="C657" t="str">
            <v>m</v>
          </cell>
          <cell r="D657">
            <v>11.31</v>
          </cell>
          <cell r="E657">
            <v>12.18</v>
          </cell>
          <cell r="F657">
            <v>12.42</v>
          </cell>
          <cell r="G657" t="str">
            <v>OK</v>
          </cell>
          <cell r="H657" t="str">
            <v>OK</v>
          </cell>
          <cell r="I657">
            <v>1.0981432360742704</v>
          </cell>
          <cell r="J657">
            <v>12.18</v>
          </cell>
          <cell r="K657" t="str">
            <v>OK</v>
          </cell>
        </row>
        <row r="658">
          <cell r="A658" t="str">
            <v>MONT008</v>
          </cell>
          <cell r="B658" t="str">
            <v>DESACOPLAMENTO DOS MOTORES DOS GMBs EXISTENTES</v>
          </cell>
          <cell r="C658" t="str">
            <v>ud</v>
          </cell>
          <cell r="D658">
            <v>500</v>
          </cell>
          <cell r="E658">
            <v>352.8</v>
          </cell>
          <cell r="F658">
            <v>359.64</v>
          </cell>
          <cell r="G658" t="str">
            <v>OK</v>
          </cell>
          <cell r="H658" t="str">
            <v>OK</v>
          </cell>
          <cell r="I658">
            <v>0.71927999999999992</v>
          </cell>
          <cell r="J658">
            <v>352.8</v>
          </cell>
          <cell r="K658" t="str">
            <v>OK</v>
          </cell>
        </row>
        <row r="659">
          <cell r="A659" t="str">
            <v>MONT009</v>
          </cell>
          <cell r="B659" t="str">
            <v>DESMONTAGEM  DE TUBULAÇÃO EM AÇO DE AÇO DN 400mm, DN 300mm E DN 250mm</v>
          </cell>
          <cell r="C659" t="str">
            <v>vb</v>
          </cell>
          <cell r="D659">
            <v>21608.6</v>
          </cell>
          <cell r="E659">
            <v>21101.21</v>
          </cell>
          <cell r="F659">
            <v>21510.57</v>
          </cell>
          <cell r="G659" t="str">
            <v>OK</v>
          </cell>
          <cell r="H659" t="str">
            <v>OK</v>
          </cell>
          <cell r="I659">
            <v>0.99546338032079829</v>
          </cell>
          <cell r="J659">
            <v>21101.21</v>
          </cell>
          <cell r="K659" t="str">
            <v>OK</v>
          </cell>
        </row>
        <row r="660">
          <cell r="A660" t="str">
            <v>MONT010</v>
          </cell>
          <cell r="B660" t="str">
            <v>INSTALAÇÃO DE REGISTRO OU VÁLVULAS BORBOLETA - DN = 1000MM</v>
          </cell>
          <cell r="C660" t="str">
            <v>ud</v>
          </cell>
          <cell r="D660">
            <v>410.55</v>
          </cell>
          <cell r="E660">
            <v>388.82</v>
          </cell>
          <cell r="F660">
            <v>396.36</v>
          </cell>
          <cell r="G660" t="str">
            <v>OK</v>
          </cell>
          <cell r="H660" t="str">
            <v>OK</v>
          </cell>
          <cell r="I660">
            <v>0.96543660942637921</v>
          </cell>
          <cell r="J660">
            <v>388.82</v>
          </cell>
          <cell r="K660" t="str">
            <v>OK</v>
          </cell>
        </row>
        <row r="661">
          <cell r="A661" t="str">
            <v>MONT011</v>
          </cell>
          <cell r="B661" t="str">
            <v>INSTALAÇÃO DE REGISTRO OU VÁLVULAS BORBOLETA - DN = 600MM</v>
          </cell>
          <cell r="C661" t="str">
            <v>ud</v>
          </cell>
          <cell r="D661">
            <v>194.71</v>
          </cell>
          <cell r="E661">
            <v>199.09</v>
          </cell>
          <cell r="F661">
            <v>202.95</v>
          </cell>
          <cell r="G661" t="str">
            <v>OK</v>
          </cell>
          <cell r="H661" t="str">
            <v>OK</v>
          </cell>
          <cell r="I661">
            <v>1.0423193467207641</v>
          </cell>
          <cell r="J661">
            <v>199.09</v>
          </cell>
          <cell r="K661" t="str">
            <v>OK</v>
          </cell>
        </row>
        <row r="662">
          <cell r="A662" t="str">
            <v>MONT012</v>
          </cell>
          <cell r="B662" t="str">
            <v>INSTALAÇÃO DE REGISTRO OU VÁLVULAS BORBOLETA - DN = 700MM</v>
          </cell>
          <cell r="C662" t="str">
            <v>ud</v>
          </cell>
          <cell r="D662">
            <v>186.68</v>
          </cell>
          <cell r="E662">
            <v>201.03</v>
          </cell>
          <cell r="F662">
            <v>204.93</v>
          </cell>
          <cell r="G662" t="str">
            <v>OK</v>
          </cell>
          <cell r="H662" t="str">
            <v>OK</v>
          </cell>
          <cell r="I662">
            <v>1.0977608742232698</v>
          </cell>
          <cell r="J662">
            <v>201.03</v>
          </cell>
          <cell r="K662" t="str">
            <v>OK</v>
          </cell>
        </row>
        <row r="663">
          <cell r="A663" t="str">
            <v>MONT013</v>
          </cell>
          <cell r="B663" t="str">
            <v>INSTALAÇÃO DE REGISTRO OU VÁLVULAS BORBOLETA - DN = 800MM</v>
          </cell>
          <cell r="C663" t="str">
            <v>ud</v>
          </cell>
          <cell r="D663">
            <v>303.89</v>
          </cell>
          <cell r="E663">
            <v>310.94</v>
          </cell>
          <cell r="F663">
            <v>316.97000000000003</v>
          </cell>
          <cell r="G663" t="str">
            <v>OK</v>
          </cell>
          <cell r="H663" t="str">
            <v>OK</v>
          </cell>
          <cell r="I663">
            <v>1.0430418901576231</v>
          </cell>
          <cell r="J663">
            <v>310.94</v>
          </cell>
          <cell r="K663" t="str">
            <v>OK</v>
          </cell>
        </row>
        <row r="664">
          <cell r="A664" t="str">
            <v>MONT014</v>
          </cell>
          <cell r="B664" t="str">
            <v>INSTALAÇÃO DE REGISTRO OU VÁLVULAS BORBOLETA DN = 800MM</v>
          </cell>
          <cell r="C664" t="str">
            <v>ud</v>
          </cell>
          <cell r="D664">
            <v>303.89</v>
          </cell>
          <cell r="E664">
            <v>310.94</v>
          </cell>
          <cell r="F664">
            <v>316.97000000000003</v>
          </cell>
          <cell r="G664" t="str">
            <v>OK</v>
          </cell>
          <cell r="H664" t="str">
            <v>OK</v>
          </cell>
          <cell r="I664">
            <v>1.0430418901576231</v>
          </cell>
          <cell r="J664">
            <v>310.94</v>
          </cell>
          <cell r="K664" t="str">
            <v>OK</v>
          </cell>
        </row>
        <row r="665">
          <cell r="A665" t="str">
            <v>MONT015</v>
          </cell>
          <cell r="B665" t="str">
            <v>INSTALAÇÃO DE VÁLVULAS DE RETENÇÃO - DN = 600MM</v>
          </cell>
          <cell r="C665" t="str">
            <v>ud</v>
          </cell>
          <cell r="D665">
            <v>194.71</v>
          </cell>
          <cell r="E665">
            <v>199.09</v>
          </cell>
          <cell r="F665">
            <v>202.95</v>
          </cell>
          <cell r="G665" t="str">
            <v>OK</v>
          </cell>
          <cell r="H665" t="str">
            <v>OK</v>
          </cell>
          <cell r="I665">
            <v>1.0423193467207641</v>
          </cell>
          <cell r="J665">
            <v>199.09</v>
          </cell>
          <cell r="K665" t="str">
            <v>OK</v>
          </cell>
        </row>
        <row r="666">
          <cell r="A666" t="str">
            <v>MONT016</v>
          </cell>
          <cell r="B666" t="str">
            <v xml:space="preserve">INTERLIGAÇÃO COM CORTE DO TUBO EXISTENTE EM FOFO COM DN =800MM </v>
          </cell>
          <cell r="C666" t="str">
            <v>ud</v>
          </cell>
          <cell r="D666">
            <v>1355.86</v>
          </cell>
          <cell r="E666">
            <v>956.7</v>
          </cell>
          <cell r="F666">
            <v>975.26</v>
          </cell>
          <cell r="G666" t="str">
            <v>OK</v>
          </cell>
          <cell r="H666" t="str">
            <v>OK</v>
          </cell>
          <cell r="I666">
            <v>0.71929255232841149</v>
          </cell>
          <cell r="J666">
            <v>956.7</v>
          </cell>
          <cell r="K666" t="str">
            <v>OK</v>
          </cell>
        </row>
        <row r="667">
          <cell r="A667" t="str">
            <v>MONT017</v>
          </cell>
          <cell r="B667" t="str">
            <v xml:space="preserve">MONTAGEM DE JUNTA FLANGEADA DE TUBOS E CONEXÕES DE FERRO FUNDIDO (CONTENDO 02 FLANGES A UNIDADE) - DN=1000MM </v>
          </cell>
          <cell r="C667" t="str">
            <v>ud</v>
          </cell>
          <cell r="D667">
            <v>410.55</v>
          </cell>
          <cell r="E667">
            <v>335.98</v>
          </cell>
          <cell r="F667">
            <v>342.5</v>
          </cell>
          <cell r="G667" t="str">
            <v>OK</v>
          </cell>
          <cell r="H667" t="str">
            <v>OK</v>
          </cell>
          <cell r="I667">
            <v>0.83424674217513095</v>
          </cell>
          <cell r="J667">
            <v>335.98</v>
          </cell>
          <cell r="K667" t="str">
            <v>OK</v>
          </cell>
        </row>
        <row r="668">
          <cell r="A668" t="str">
            <v>MONT018</v>
          </cell>
          <cell r="B668" t="str">
            <v xml:space="preserve">MONTAGEM DE JUNTA FLANGEADA DE TUBOS E CONEXÕES DE FERRO FUNDIDO (CONTENDO 02 FLANGES A UNIDADE) - DN=600MM </v>
          </cell>
          <cell r="C668" t="str">
            <v>ud</v>
          </cell>
          <cell r="D668">
            <v>179.04</v>
          </cell>
          <cell r="E668">
            <v>183.15</v>
          </cell>
          <cell r="F668">
            <v>186.7</v>
          </cell>
          <cell r="G668" t="str">
            <v>OK</v>
          </cell>
          <cell r="H668" t="str">
            <v>OK</v>
          </cell>
          <cell r="I668">
            <v>1.0427837354781055</v>
          </cell>
          <cell r="J668">
            <v>183.15</v>
          </cell>
          <cell r="K668" t="str">
            <v>OK</v>
          </cell>
        </row>
        <row r="669">
          <cell r="A669" t="str">
            <v>MONT019</v>
          </cell>
          <cell r="B669" t="str">
            <v xml:space="preserve">MONTAGEM DE JUNTA FLANGEADA DE TUBOS E CONEXÕES DE FERRO FUNDIDO (CONTENDO 02 FLANGES A UNIDADE) - DN=700MM </v>
          </cell>
          <cell r="C669" t="str">
            <v>ud</v>
          </cell>
          <cell r="D669">
            <v>268.79000000000002</v>
          </cell>
          <cell r="E669">
            <v>206.58</v>
          </cell>
          <cell r="F669">
            <v>210.59</v>
          </cell>
          <cell r="G669" t="str">
            <v>OK</v>
          </cell>
          <cell r="H669" t="str">
            <v>OK</v>
          </cell>
          <cell r="I669">
            <v>0.78347408757766279</v>
          </cell>
          <cell r="J669">
            <v>206.58</v>
          </cell>
          <cell r="K669" t="str">
            <v>OK</v>
          </cell>
        </row>
        <row r="670">
          <cell r="A670" t="str">
            <v>MONT020</v>
          </cell>
          <cell r="B670" t="str">
            <v xml:space="preserve">MONTAGEM DE JUNTA FLANGEADA DE TUBOS E CONEXÕES DE FERRO FUNDIDO (CONTENDO 02 FLANGES A UNIDADE) - DN=800MM </v>
          </cell>
          <cell r="C670" t="str">
            <v>ud</v>
          </cell>
          <cell r="D670">
            <v>291.36</v>
          </cell>
          <cell r="E670">
            <v>273.37</v>
          </cell>
          <cell r="F670">
            <v>278.67</v>
          </cell>
          <cell r="G670" t="str">
            <v>OK</v>
          </cell>
          <cell r="H670" t="str">
            <v>OK</v>
          </cell>
          <cell r="I670">
            <v>0.95644563426688634</v>
          </cell>
          <cell r="J670">
            <v>273.37</v>
          </cell>
          <cell r="K670" t="str">
            <v>OK</v>
          </cell>
        </row>
        <row r="671">
          <cell r="A671" t="str">
            <v>MONT021</v>
          </cell>
          <cell r="B671" t="str">
            <v xml:space="preserve">MONTAGEM DE JUNTA FLANGEADA DE TUBOS E CONEXÕES DE FERRO FUNDIDO (CONTENDO 02 FLANGES A UNIDADE) - DN-200MM </v>
          </cell>
          <cell r="C671" t="str">
            <v>ud</v>
          </cell>
          <cell r="D671">
            <v>52.42</v>
          </cell>
          <cell r="E671">
            <v>53.67</v>
          </cell>
          <cell r="F671">
            <v>54.71</v>
          </cell>
          <cell r="G671" t="str">
            <v>OK</v>
          </cell>
          <cell r="H671" t="str">
            <v>OK</v>
          </cell>
          <cell r="I671">
            <v>1.0436856161770316</v>
          </cell>
          <cell r="J671">
            <v>53.67</v>
          </cell>
          <cell r="K671" t="str">
            <v>OK</v>
          </cell>
        </row>
        <row r="672">
          <cell r="A672" t="str">
            <v>MONT022</v>
          </cell>
          <cell r="B672" t="str">
            <v xml:space="preserve">MONTAGEM DE JUNTA FLANGEADA DE TUBOS E CONEXÕES DE FERRO FUNDIDO (CONTENDO 02 FLANGES A UNIDADE) - DN-400MM </v>
          </cell>
          <cell r="C672" t="str">
            <v>ud</v>
          </cell>
          <cell r="D672">
            <v>119.05</v>
          </cell>
          <cell r="E672">
            <v>121.87</v>
          </cell>
          <cell r="F672">
            <v>124.23</v>
          </cell>
          <cell r="G672" t="str">
            <v>OK</v>
          </cell>
          <cell r="H672" t="str">
            <v>OK</v>
          </cell>
          <cell r="I672">
            <v>1.0435111297774045</v>
          </cell>
          <cell r="J672">
            <v>121.87</v>
          </cell>
          <cell r="K672" t="str">
            <v>OK</v>
          </cell>
        </row>
        <row r="673">
          <cell r="A673" t="str">
            <v>MONT023</v>
          </cell>
          <cell r="B673" t="str">
            <v xml:space="preserve">MONTAGEM DE JUNTA FLANGEADA DE TUBOS E CONEXÕES DE FERRO FUNDIDO (CONTENDO 02 FLANGES A UNIDADE) - DN-500MM </v>
          </cell>
          <cell r="C673" t="str">
            <v>ud</v>
          </cell>
          <cell r="D673">
            <v>146.25</v>
          </cell>
          <cell r="E673">
            <v>149.76</v>
          </cell>
          <cell r="F673">
            <v>152.66999999999999</v>
          </cell>
          <cell r="G673" t="str">
            <v>OK</v>
          </cell>
          <cell r="H673" t="str">
            <v>OK</v>
          </cell>
          <cell r="I673">
            <v>1.0438974358974358</v>
          </cell>
          <cell r="J673">
            <v>149.76</v>
          </cell>
          <cell r="K673" t="str">
            <v>OK</v>
          </cell>
        </row>
        <row r="674">
          <cell r="A674" t="str">
            <v>MONT024</v>
          </cell>
          <cell r="B674" t="str">
            <v xml:space="preserve">MONTAGEM DE JUNTA FLANGEADA DE TUBOS E CONEXÕES DE FERRO FUNDIDO (CONTENDO 02 FLANGES A UNIDADE) - DN-600MM </v>
          </cell>
          <cell r="C674" t="str">
            <v>ud</v>
          </cell>
          <cell r="D674">
            <v>179.04</v>
          </cell>
          <cell r="E674">
            <v>183.15</v>
          </cell>
          <cell r="F674">
            <v>186.7</v>
          </cell>
          <cell r="G674" t="str">
            <v>OK</v>
          </cell>
          <cell r="H674" t="str">
            <v>OK</v>
          </cell>
          <cell r="I674">
            <v>1.0427837354781055</v>
          </cell>
          <cell r="J674">
            <v>183.15</v>
          </cell>
          <cell r="K674" t="str">
            <v>OK</v>
          </cell>
        </row>
        <row r="675">
          <cell r="A675" t="str">
            <v>MONT025</v>
          </cell>
          <cell r="B675" t="str">
            <v>Montagem de Junta Flangeada de Tubos, DN = 1000mm e conexões de Ferro Fundido</v>
          </cell>
          <cell r="C675" t="str">
            <v>un</v>
          </cell>
          <cell r="D675">
            <v>410.55</v>
          </cell>
          <cell r="E675">
            <v>289.69</v>
          </cell>
          <cell r="F675">
            <v>295.31</v>
          </cell>
          <cell r="G675" t="str">
            <v>OK</v>
          </cell>
          <cell r="H675" t="str">
            <v>OK</v>
          </cell>
          <cell r="I675">
            <v>0.71930337352332241</v>
          </cell>
          <cell r="J675">
            <v>289.69</v>
          </cell>
          <cell r="K675" t="str">
            <v>OK</v>
          </cell>
        </row>
        <row r="676">
          <cell r="A676" t="str">
            <v>MONT026</v>
          </cell>
          <cell r="B676" t="str">
            <v>Montagem de Junta Flangeada de Tubos, DN = 150mm e conexões de Ferro Fundido</v>
          </cell>
          <cell r="C676" t="str">
            <v>un</v>
          </cell>
          <cell r="D676">
            <v>38.21</v>
          </cell>
          <cell r="E676">
            <v>39.130000000000003</v>
          </cell>
          <cell r="F676">
            <v>39.89</v>
          </cell>
          <cell r="G676" t="str">
            <v>OK</v>
          </cell>
          <cell r="H676" t="str">
            <v>OK</v>
          </cell>
          <cell r="I676">
            <v>1.0439675477623658</v>
          </cell>
          <cell r="J676">
            <v>39.130000000000003</v>
          </cell>
          <cell r="K676" t="str">
            <v>OK</v>
          </cell>
        </row>
        <row r="677">
          <cell r="A677" t="str">
            <v>MONT027</v>
          </cell>
          <cell r="B677" t="str">
            <v>Montagem de Junta Flangeada de Tubos, DN = 200mm e conexões de Ferro Fundido</v>
          </cell>
          <cell r="C677" t="str">
            <v>un</v>
          </cell>
          <cell r="D677">
            <v>52.42</v>
          </cell>
          <cell r="E677">
            <v>53.67</v>
          </cell>
          <cell r="F677">
            <v>54.71</v>
          </cell>
          <cell r="G677" t="str">
            <v>OK</v>
          </cell>
          <cell r="H677" t="str">
            <v>OK</v>
          </cell>
          <cell r="I677">
            <v>1.0436856161770316</v>
          </cell>
          <cell r="J677">
            <v>53.67</v>
          </cell>
          <cell r="K677" t="str">
            <v>OK</v>
          </cell>
        </row>
        <row r="678">
          <cell r="A678" t="str">
            <v>MONT028</v>
          </cell>
          <cell r="B678" t="str">
            <v>Montagem de Junta Flangeada de Tubos, DN = 800mm e conexões de Ferro Fundido</v>
          </cell>
          <cell r="C678" t="str">
            <v>un</v>
          </cell>
          <cell r="D678">
            <v>291.36</v>
          </cell>
          <cell r="E678">
            <v>231.38</v>
          </cell>
          <cell r="F678">
            <v>235.87</v>
          </cell>
          <cell r="G678" t="str">
            <v>OK</v>
          </cell>
          <cell r="H678" t="str">
            <v>OK</v>
          </cell>
          <cell r="I678">
            <v>0.80954832509610097</v>
          </cell>
          <cell r="J678">
            <v>231.38</v>
          </cell>
          <cell r="K678" t="str">
            <v>OK</v>
          </cell>
        </row>
        <row r="679">
          <cell r="A679" t="str">
            <v>MONT029</v>
          </cell>
          <cell r="B679" t="str">
            <v xml:space="preserve">MONTAGEM DOS CONJUNTOS ELEVATÓRIOS, DEVIDAMENTE ALINHADOS E NIVELADOS NA BASE </v>
          </cell>
          <cell r="C679" t="str">
            <v>vb</v>
          </cell>
          <cell r="D679">
            <v>1500</v>
          </cell>
          <cell r="E679">
            <v>1615.3</v>
          </cell>
          <cell r="F679">
            <v>1646.64</v>
          </cell>
          <cell r="G679" t="str">
            <v>OK</v>
          </cell>
          <cell r="H679" t="str">
            <v>OK</v>
          </cell>
          <cell r="I679">
            <v>1.0977600000000001</v>
          </cell>
          <cell r="J679">
            <v>1615.3</v>
          </cell>
          <cell r="K679" t="str">
            <v>OK</v>
          </cell>
        </row>
        <row r="680">
          <cell r="A680" t="str">
            <v>MONT030</v>
          </cell>
          <cell r="B680" t="str">
            <v>MONTAGEM E INSTALAÇÃO DAS PEÇAS EM PRFV, INCLUSIVE VERTEDORES</v>
          </cell>
          <cell r="C680" t="str">
            <v>vb</v>
          </cell>
          <cell r="D680">
            <v>162.5</v>
          </cell>
          <cell r="E680">
            <v>158.68</v>
          </cell>
          <cell r="F680">
            <v>161.76</v>
          </cell>
          <cell r="G680" t="str">
            <v>OK</v>
          </cell>
          <cell r="H680" t="str">
            <v>OK</v>
          </cell>
          <cell r="I680">
            <v>0.99544615384615376</v>
          </cell>
          <cell r="J680">
            <v>158.68</v>
          </cell>
          <cell r="K680" t="str">
            <v>OK</v>
          </cell>
        </row>
        <row r="681">
          <cell r="A681" t="str">
            <v>MONT031</v>
          </cell>
          <cell r="B681" t="str">
            <v>PROTEÇÃO CATÓDICA GALVANIZADA NAS ARMADURAS</v>
          </cell>
          <cell r="C681" t="str">
            <v>m²</v>
          </cell>
          <cell r="D681">
            <v>34.909999999999997</v>
          </cell>
          <cell r="E681">
            <v>37.590000000000003</v>
          </cell>
          <cell r="F681">
            <v>38.32</v>
          </cell>
          <cell r="G681" t="str">
            <v>OK</v>
          </cell>
          <cell r="H681" t="str">
            <v>OK</v>
          </cell>
          <cell r="I681">
            <v>1.0976797479232312</v>
          </cell>
          <cell r="J681">
            <v>37.590000000000003</v>
          </cell>
          <cell r="K681" t="str">
            <v>OK</v>
          </cell>
        </row>
        <row r="682">
          <cell r="A682" t="str">
            <v>MONT032</v>
          </cell>
          <cell r="B682" t="str">
            <v>RETIRADA DE COMPORTA DE 500X500 E 400X400mm INCLUSIVE MACACO HIDRÁULICO</v>
          </cell>
          <cell r="C682" t="str">
            <v>ud</v>
          </cell>
          <cell r="D682">
            <v>390</v>
          </cell>
          <cell r="E682">
            <v>419.98</v>
          </cell>
          <cell r="F682">
            <v>428.13</v>
          </cell>
          <cell r="G682" t="str">
            <v>OK</v>
          </cell>
          <cell r="H682" t="str">
            <v>OK</v>
          </cell>
          <cell r="I682">
            <v>1.0977692307692308</v>
          </cell>
          <cell r="J682">
            <v>419.98</v>
          </cell>
          <cell r="K682" t="str">
            <v>OK</v>
          </cell>
        </row>
        <row r="683">
          <cell r="A683" t="str">
            <v>MONT033</v>
          </cell>
          <cell r="B683" t="str">
            <v>SUBSTITUIÇÃO DE DOIS REGISTROS FLANGEADOS; DN = 300 mm</v>
          </cell>
          <cell r="C683" t="str">
            <v>ud</v>
          </cell>
          <cell r="D683">
            <v>160.34</v>
          </cell>
          <cell r="E683">
            <v>160.34</v>
          </cell>
          <cell r="F683">
            <v>172.67</v>
          </cell>
          <cell r="G683" t="str">
            <v>OK</v>
          </cell>
          <cell r="H683" t="str">
            <v>OK</v>
          </cell>
          <cell r="I683">
            <v>1.0768990894349506</v>
          </cell>
          <cell r="J683">
            <v>172.67</v>
          </cell>
          <cell r="K683" t="str">
            <v>B</v>
          </cell>
        </row>
        <row r="684">
          <cell r="A684" t="str">
            <v>MONT035</v>
          </cell>
          <cell r="B684" t="str">
            <v>MONTAGEM DOS BARRILETES DOS FILTROS</v>
          </cell>
          <cell r="C684" t="str">
            <v>vb</v>
          </cell>
          <cell r="D684">
            <v>33800</v>
          </cell>
          <cell r="E684">
            <v>31434</v>
          </cell>
          <cell r="F684">
            <v>32043.82</v>
          </cell>
          <cell r="G684" t="str">
            <v>OK</v>
          </cell>
          <cell r="H684" t="str">
            <v>OK</v>
          </cell>
          <cell r="I684">
            <v>0.94804201183431946</v>
          </cell>
          <cell r="J684">
            <v>41709.199999999997</v>
          </cell>
          <cell r="K684" t="str">
            <v>OK</v>
          </cell>
        </row>
        <row r="685">
          <cell r="A685" t="str">
            <v>MONT036</v>
          </cell>
          <cell r="B685" t="str">
            <v>MONTAGEM DOS MANIFOLDS INCLUINDO ABERTURA DE ROSCA, PERFURAÇÃO DO TUBO, MONTAGEM DE CONEÇÕES E FIXAÇÃO NA PAREDE DO FILTRO</v>
          </cell>
          <cell r="C685" t="str">
            <v>ud</v>
          </cell>
          <cell r="D685">
            <v>10.220000000000001</v>
          </cell>
          <cell r="E685">
            <v>11.54</v>
          </cell>
          <cell r="F685">
            <v>11.76</v>
          </cell>
          <cell r="G685" t="str">
            <v>OK</v>
          </cell>
          <cell r="H685" t="str">
            <v>OK</v>
          </cell>
          <cell r="I685">
            <v>1.1506849315068493</v>
          </cell>
          <cell r="J685">
            <v>11.54</v>
          </cell>
          <cell r="K685" t="str">
            <v>OK</v>
          </cell>
        </row>
        <row r="686">
          <cell r="A686" t="str">
            <v>MONT291</v>
          </cell>
          <cell r="B686" t="str">
            <v>ASSENTAMENTO DE TUBULAÇÃO PONTA E BOLSA EM FERRO DÚCTIL OU AÇO COM CONEXÕES E PEÇAS ESPECIAIS, DN - 800 MM</v>
          </cell>
          <cell r="C686" t="str">
            <v>m</v>
          </cell>
          <cell r="D686">
            <v>13.87</v>
          </cell>
          <cell r="E686">
            <v>13.87</v>
          </cell>
          <cell r="F686">
            <v>14.14</v>
          </cell>
          <cell r="G686" t="str">
            <v>OK</v>
          </cell>
          <cell r="H686" t="str">
            <v>OK</v>
          </cell>
          <cell r="I686">
            <v>1.0194664744051911</v>
          </cell>
          <cell r="J686" t="e">
            <v>#N/A</v>
          </cell>
          <cell r="K686" t="e">
            <v>#N/A</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OAE"/>
      <sheetName val="OAE"/>
      <sheetName val="NOVAS"/>
      <sheetName val="RESTAURAÇÃO"/>
    </sheetNames>
    <sheetDataSet>
      <sheetData sheetId="0" refreshError="1"/>
      <sheetData sheetId="1" refreshError="1"/>
      <sheetData sheetId="2" refreshError="1"/>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960887"/>
    </sheetNames>
    <definedNames>
      <definedName name="PassaExtenso"/>
    </defined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Gráf1"/>
      <sheetName val="FPF"/>
      <sheetName val="Qualitativa"/>
      <sheetName val="PGR"/>
      <sheetName val="SS"/>
      <sheetName val="Sintetico"/>
      <sheetName val="Tabela"/>
      <sheetName val="ABC"/>
      <sheetName val="Sumário"/>
    </sheetNames>
    <sheetDataSet>
      <sheetData sheetId="0"/>
      <sheetData sheetId="1" refreshError="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960887"/>
    </sheetNames>
    <definedNames>
      <definedName name="PassaExtenso"/>
    </defined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cao"/>
      <sheetName val="simulaco  sem cont rw"/>
      <sheetName val="Fech.s cont.,seg (alt.3) (2)"/>
      <sheetName val="FECHAMENTO AHE ESPORA"/>
      <sheetName val="fech. sem cimento e aco c res."/>
      <sheetName val="Plan1"/>
      <sheetName val="MOI - RESUMO"/>
      <sheetName val="Alimentação EPI Canteiro Manut"/>
      <sheetName val="DESPESAS-RESUMO"/>
      <sheetName val="MOI - CRONOGRAMA FÍSICO"/>
      <sheetName val="MOI - CRONOGRAMA ECONÔMICO"/>
      <sheetName val="Despesas - Cronograma Físico"/>
      <sheetName val="DESPESAS-CRONOGRAMA ECONÔMICO"/>
      <sheetName val="DESPESAS-CRONOGRAMA BASE"/>
      <sheetName val="SEGURO_Fev-04"/>
      <sheetName val="dados"/>
      <sheetName val="compos1"/>
      <sheetName val="TABELA DE INDICES"/>
    </sheetNames>
    <sheetDataSet>
      <sheetData sheetId="0" refreshError="1"/>
      <sheetData sheetId="1" refreshError="1"/>
      <sheetData sheetId="2"/>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ow r="3">
          <cell r="X3">
            <v>37956</v>
          </cell>
          <cell r="Y3">
            <v>37987</v>
          </cell>
          <cell r="Z3">
            <v>38018</v>
          </cell>
          <cell r="AA3">
            <v>38047</v>
          </cell>
          <cell r="AB3">
            <v>38078</v>
          </cell>
          <cell r="AC3">
            <v>38108</v>
          </cell>
          <cell r="AD3">
            <v>38139</v>
          </cell>
          <cell r="AE3">
            <v>38169</v>
          </cell>
          <cell r="AF3">
            <v>38200</v>
          </cell>
          <cell r="AG3">
            <v>38231</v>
          </cell>
          <cell r="AH3">
            <v>38261</v>
          </cell>
          <cell r="AI3">
            <v>38292</v>
          </cell>
          <cell r="AJ3">
            <v>38322</v>
          </cell>
        </row>
        <row r="4">
          <cell r="B4" t="str">
            <v>Mão de Obra</v>
          </cell>
          <cell r="C4" t="str">
            <v>Máximo</v>
          </cell>
          <cell r="D4">
            <v>1</v>
          </cell>
          <cell r="E4">
            <v>2</v>
          </cell>
          <cell r="F4">
            <v>3</v>
          </cell>
          <cell r="G4">
            <v>4</v>
          </cell>
          <cell r="H4">
            <v>5</v>
          </cell>
          <cell r="I4">
            <v>6</v>
          </cell>
          <cell r="J4">
            <v>7</v>
          </cell>
          <cell r="K4">
            <v>8</v>
          </cell>
          <cell r="L4">
            <v>9</v>
          </cell>
          <cell r="M4">
            <v>10</v>
          </cell>
          <cell r="N4">
            <v>11</v>
          </cell>
          <cell r="O4">
            <v>12</v>
          </cell>
          <cell r="P4">
            <v>13</v>
          </cell>
          <cell r="Q4">
            <v>14</v>
          </cell>
          <cell r="R4">
            <v>15</v>
          </cell>
          <cell r="S4">
            <v>16</v>
          </cell>
          <cell r="T4">
            <v>17</v>
          </cell>
          <cell r="U4">
            <v>18</v>
          </cell>
          <cell r="V4">
            <v>19</v>
          </cell>
          <cell r="W4">
            <v>20</v>
          </cell>
          <cell r="X4">
            <v>41</v>
          </cell>
          <cell r="Y4">
            <v>42</v>
          </cell>
          <cell r="Z4">
            <v>43</v>
          </cell>
          <cell r="AA4">
            <v>44</v>
          </cell>
          <cell r="AB4">
            <v>45</v>
          </cell>
          <cell r="AC4">
            <v>46</v>
          </cell>
          <cell r="AD4">
            <v>47</v>
          </cell>
          <cell r="AE4">
            <v>48</v>
          </cell>
          <cell r="AF4">
            <v>49</v>
          </cell>
          <cell r="AG4">
            <v>50</v>
          </cell>
          <cell r="AH4">
            <v>51</v>
          </cell>
          <cell r="AI4">
            <v>52</v>
          </cell>
          <cell r="AJ4">
            <v>53</v>
          </cell>
        </row>
        <row r="5">
          <cell r="A5" t="str">
            <v>MOD</v>
          </cell>
          <cell r="B5" t="str">
            <v>Direta</v>
          </cell>
          <cell r="C5">
            <v>640</v>
          </cell>
          <cell r="D5">
            <v>78</v>
          </cell>
          <cell r="E5">
            <v>201</v>
          </cell>
          <cell r="F5">
            <v>539</v>
          </cell>
          <cell r="G5">
            <v>367</v>
          </cell>
          <cell r="H5">
            <v>534</v>
          </cell>
          <cell r="I5">
            <v>520</v>
          </cell>
          <cell r="J5">
            <v>640</v>
          </cell>
          <cell r="K5">
            <v>598</v>
          </cell>
          <cell r="L5">
            <v>513</v>
          </cell>
          <cell r="M5">
            <v>229</v>
          </cell>
          <cell r="N5">
            <v>143</v>
          </cell>
          <cell r="O5">
            <v>55</v>
          </cell>
          <cell r="P5">
            <v>11</v>
          </cell>
          <cell r="Q5">
            <v>201</v>
          </cell>
          <cell r="R5">
            <v>178</v>
          </cell>
          <cell r="S5">
            <v>110</v>
          </cell>
          <cell r="T5">
            <v>38</v>
          </cell>
          <cell r="U5">
            <v>0</v>
          </cell>
          <cell r="V5">
            <v>0</v>
          </cell>
          <cell r="W5">
            <v>0</v>
          </cell>
        </row>
        <row r="6">
          <cell r="A6" t="str">
            <v>MOI</v>
          </cell>
          <cell r="B6" t="str">
            <v>Indireta</v>
          </cell>
          <cell r="C6">
            <v>117</v>
          </cell>
          <cell r="D6">
            <v>39</v>
          </cell>
          <cell r="E6">
            <v>90</v>
          </cell>
          <cell r="F6">
            <v>112</v>
          </cell>
          <cell r="G6">
            <v>112</v>
          </cell>
          <cell r="H6">
            <v>114</v>
          </cell>
          <cell r="I6">
            <v>115</v>
          </cell>
          <cell r="J6">
            <v>117</v>
          </cell>
          <cell r="K6">
            <v>117</v>
          </cell>
          <cell r="L6">
            <v>117</v>
          </cell>
          <cell r="M6">
            <v>109</v>
          </cell>
          <cell r="N6">
            <v>105</v>
          </cell>
          <cell r="O6">
            <v>103</v>
          </cell>
          <cell r="P6">
            <v>100</v>
          </cell>
          <cell r="Q6">
            <v>101</v>
          </cell>
          <cell r="R6">
            <v>99</v>
          </cell>
          <cell r="S6">
            <v>85</v>
          </cell>
          <cell r="T6">
            <v>70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row>
        <row r="7">
          <cell r="A7" t="str">
            <v>MOT</v>
          </cell>
          <cell r="B7" t="str">
            <v>Total</v>
          </cell>
          <cell r="C7">
            <v>757</v>
          </cell>
          <cell r="D7">
            <v>117</v>
          </cell>
          <cell r="E7">
            <v>291</v>
          </cell>
          <cell r="F7">
            <v>651</v>
          </cell>
          <cell r="G7">
            <v>479</v>
          </cell>
          <cell r="H7">
            <v>648</v>
          </cell>
          <cell r="I7">
            <v>635</v>
          </cell>
          <cell r="J7">
            <v>757</v>
          </cell>
          <cell r="K7">
            <v>715</v>
          </cell>
          <cell r="L7">
            <v>630</v>
          </cell>
          <cell r="M7">
            <v>338</v>
          </cell>
          <cell r="N7">
            <v>248</v>
          </cell>
          <cell r="O7">
            <v>158</v>
          </cell>
          <cell r="P7">
            <v>111</v>
          </cell>
          <cell r="Q7">
            <v>302</v>
          </cell>
          <cell r="R7">
            <v>277</v>
          </cell>
          <cell r="S7">
            <v>195</v>
          </cell>
          <cell r="T7">
            <v>108</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row>
        <row r="9">
          <cell r="A9" t="str">
            <v>AM</v>
          </cell>
          <cell r="C9">
            <v>24</v>
          </cell>
          <cell r="D9">
            <v>14</v>
          </cell>
          <cell r="E9">
            <v>22</v>
          </cell>
          <cell r="F9">
            <v>24</v>
          </cell>
          <cell r="G9">
            <v>23</v>
          </cell>
          <cell r="H9">
            <v>24</v>
          </cell>
          <cell r="I9">
            <v>24</v>
          </cell>
          <cell r="J9">
            <v>24</v>
          </cell>
          <cell r="K9">
            <v>24</v>
          </cell>
          <cell r="L9">
            <v>24</v>
          </cell>
          <cell r="M9">
            <v>23</v>
          </cell>
          <cell r="N9">
            <v>24</v>
          </cell>
          <cell r="O9">
            <v>23</v>
          </cell>
          <cell r="P9">
            <v>23</v>
          </cell>
          <cell r="Q9">
            <v>23</v>
          </cell>
          <cell r="R9">
            <v>22</v>
          </cell>
          <cell r="S9">
            <v>20</v>
          </cell>
          <cell r="T9">
            <v>17</v>
          </cell>
          <cell r="U9">
            <v>0</v>
          </cell>
          <cell r="V9">
            <v>0</v>
          </cell>
          <cell r="W9">
            <v>0</v>
          </cell>
        </row>
        <row r="11">
          <cell r="B11" t="str">
            <v>REFEIÇÕES (R$)</v>
          </cell>
          <cell r="C11" t="str">
            <v>MENSAL</v>
          </cell>
          <cell r="D11">
            <v>26229.397297297299</v>
          </cell>
          <cell r="E11">
            <v>65237.218918918916</v>
          </cell>
          <cell r="F11">
            <v>145943.05675675676</v>
          </cell>
          <cell r="G11">
            <v>107383.60090090091</v>
          </cell>
          <cell r="H11">
            <v>145270.50810810813</v>
          </cell>
          <cell r="I11">
            <v>142356.13063063062</v>
          </cell>
          <cell r="J11">
            <v>169706.44234234234</v>
          </cell>
          <cell r="K11">
            <v>160290.76126126124</v>
          </cell>
          <cell r="L11">
            <v>141235.21621621621</v>
          </cell>
          <cell r="M11">
            <v>75773.814414414417</v>
          </cell>
          <cell r="N11">
            <v>55597.354954954957</v>
          </cell>
          <cell r="O11">
            <v>35420.895495495497</v>
          </cell>
          <cell r="P11">
            <v>24884.3</v>
          </cell>
          <cell r="Q11">
            <v>67703.230630630627</v>
          </cell>
          <cell r="R11">
            <v>62098.658558558556</v>
          </cell>
          <cell r="S11">
            <v>43715.66216216216</v>
          </cell>
          <cell r="T11">
            <v>24211.751351351351</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row>
        <row r="12">
          <cell r="C12" t="str">
            <v>ACM</v>
          </cell>
          <cell r="D12">
            <v>26229.397297297299</v>
          </cell>
          <cell r="E12">
            <v>91466.616216216207</v>
          </cell>
          <cell r="F12">
            <v>237409.67297297297</v>
          </cell>
          <cell r="G12">
            <v>344793.27387387387</v>
          </cell>
          <cell r="H12">
            <v>490063.781981982</v>
          </cell>
          <cell r="I12">
            <v>632419.91261261259</v>
          </cell>
          <cell r="J12">
            <v>802126.35495495494</v>
          </cell>
          <cell r="K12">
            <v>962417.11621621624</v>
          </cell>
          <cell r="L12">
            <v>1103652.3324324326</v>
          </cell>
          <cell r="M12">
            <v>1179426.1468468469</v>
          </cell>
          <cell r="N12">
            <v>1235023.5018018018</v>
          </cell>
          <cell r="O12">
            <v>1270444.3972972974</v>
          </cell>
          <cell r="P12">
            <v>1295328.6972972974</v>
          </cell>
          <cell r="Q12">
            <v>1363031.927927928</v>
          </cell>
          <cell r="R12">
            <v>1425130.5864864867</v>
          </cell>
          <cell r="S12">
            <v>1468846.2486486488</v>
          </cell>
          <cell r="T12">
            <v>1493058.0000000002</v>
          </cell>
          <cell r="U12">
            <v>1493058.0000000002</v>
          </cell>
          <cell r="V12">
            <v>1493058.0000000002</v>
          </cell>
          <cell r="W12">
            <v>1493058.0000000002</v>
          </cell>
          <cell r="X12">
            <v>1493058.0000000002</v>
          </cell>
          <cell r="Y12">
            <v>1493058.0000000002</v>
          </cell>
          <cell r="Z12">
            <v>1493058.0000000002</v>
          </cell>
          <cell r="AA12">
            <v>1493058.0000000002</v>
          </cell>
          <cell r="AB12">
            <v>1493058.0000000002</v>
          </cell>
          <cell r="AC12">
            <v>1493058.0000000002</v>
          </cell>
          <cell r="AD12">
            <v>1493058.0000000002</v>
          </cell>
          <cell r="AE12">
            <v>1493058.0000000002</v>
          </cell>
          <cell r="AF12">
            <v>1493058.0000000002</v>
          </cell>
          <cell r="AG12">
            <v>1493058.0000000002</v>
          </cell>
          <cell r="AH12">
            <v>1493058.0000000002</v>
          </cell>
          <cell r="AI12">
            <v>1493058.0000000002</v>
          </cell>
          <cell r="AJ12">
            <v>1493058.0000000002</v>
          </cell>
        </row>
        <row r="13">
          <cell r="C13" t="str">
            <v>%</v>
          </cell>
          <cell r="D13">
            <v>1.7600000000000001E-2</v>
          </cell>
          <cell r="E13">
            <v>4.3700000000000003E-2</v>
          </cell>
          <cell r="F13">
            <v>9.7699999999999995E-2</v>
          </cell>
          <cell r="G13">
            <v>7.1900000000000006E-2</v>
          </cell>
          <cell r="H13">
            <v>9.7299999999999998E-2</v>
          </cell>
          <cell r="I13">
            <v>9.5299999999999996E-2</v>
          </cell>
          <cell r="J13">
            <v>0.1137</v>
          </cell>
          <cell r="K13">
            <v>0.1074</v>
          </cell>
          <cell r="L13">
            <v>9.4600000000000004E-2</v>
          </cell>
          <cell r="M13">
            <v>5.0799999999999998E-2</v>
          </cell>
          <cell r="N13">
            <v>3.7199999999999997E-2</v>
          </cell>
          <cell r="O13">
            <v>2.3699999999999999E-2</v>
          </cell>
          <cell r="P13">
            <v>1.67E-2</v>
          </cell>
          <cell r="Q13">
            <v>4.53E-2</v>
          </cell>
          <cell r="R13">
            <v>4.1599999999999998E-2</v>
          </cell>
          <cell r="S13">
            <v>2.93E-2</v>
          </cell>
          <cell r="T13">
            <v>1.6199999999999999E-2</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1</v>
          </cell>
        </row>
        <row r="17">
          <cell r="D17">
            <v>2</v>
          </cell>
          <cell r="E17">
            <v>3</v>
          </cell>
          <cell r="F17">
            <v>4</v>
          </cell>
          <cell r="G17">
            <v>3</v>
          </cell>
          <cell r="H17">
            <v>4</v>
          </cell>
          <cell r="I17">
            <v>4</v>
          </cell>
          <cell r="J17">
            <v>4</v>
          </cell>
          <cell r="K17">
            <v>4</v>
          </cell>
          <cell r="L17">
            <v>4</v>
          </cell>
          <cell r="M17">
            <v>3</v>
          </cell>
          <cell r="N17">
            <v>3</v>
          </cell>
          <cell r="O17">
            <v>2</v>
          </cell>
          <cell r="P17">
            <v>2</v>
          </cell>
          <cell r="Q17">
            <v>3</v>
          </cell>
          <cell r="R17">
            <v>3</v>
          </cell>
          <cell r="S17">
            <v>2</v>
          </cell>
          <cell r="T17">
            <v>2</v>
          </cell>
          <cell r="U17">
            <v>0</v>
          </cell>
          <cell r="V17">
            <v>0</v>
          </cell>
          <cell r="W17">
            <v>0</v>
          </cell>
        </row>
        <row r="18">
          <cell r="B18" t="str">
            <v>NORMAS PARA TÉCNICO DE SEGURANÇA:</v>
          </cell>
        </row>
        <row r="19">
          <cell r="B19" t="str">
            <v>HOMENS</v>
          </cell>
          <cell r="E19" t="str">
            <v>QTD TÉCNICO</v>
          </cell>
        </row>
        <row r="20">
          <cell r="B20" t="str">
            <v>ATÉ</v>
          </cell>
          <cell r="C20">
            <v>100</v>
          </cell>
          <cell r="E20">
            <v>1</v>
          </cell>
        </row>
        <row r="21">
          <cell r="B21">
            <v>101</v>
          </cell>
          <cell r="C21" t="str">
            <v>A</v>
          </cell>
          <cell r="D21">
            <v>250</v>
          </cell>
          <cell r="E21">
            <v>2</v>
          </cell>
        </row>
        <row r="22">
          <cell r="B22">
            <v>251</v>
          </cell>
          <cell r="C22" t="str">
            <v>A</v>
          </cell>
          <cell r="D22">
            <v>500</v>
          </cell>
          <cell r="E22">
            <v>3</v>
          </cell>
        </row>
        <row r="23">
          <cell r="B23">
            <v>501</v>
          </cell>
          <cell r="C23" t="str">
            <v>A</v>
          </cell>
          <cell r="D23">
            <v>1000</v>
          </cell>
          <cell r="E23">
            <v>4</v>
          </cell>
        </row>
      </sheetData>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TE 5"/>
      <sheetName val="LOTE 6"/>
      <sheetName val="resumo financeiro"/>
    </sheetNames>
    <sheetDataSet>
      <sheetData sheetId="0"/>
      <sheetData sheetId="1" refreshError="1">
        <row r="10">
          <cell r="AE10">
            <v>1.3</v>
          </cell>
        </row>
        <row r="11">
          <cell r="AE11">
            <v>0.83682008368200833</v>
          </cell>
        </row>
      </sheetData>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ÁRIO"/>
      <sheetName val="TRANSP."/>
      <sheetName val="TIPO MAT."/>
      <sheetName val="CAPACIDADES"/>
      <sheetName val="PREÇOS"/>
      <sheetName val="DENSID."/>
      <sheetName val="LOTE 6"/>
      <sheetName val="CARMA1~1"/>
      <sheetName val="RESTAURAÇÃO "/>
    </sheetNames>
    <sheetDataSet>
      <sheetData sheetId="0"/>
      <sheetData sheetId="1"/>
      <sheetData sheetId="2"/>
      <sheetData sheetId="3" refreshError="1">
        <row r="8">
          <cell r="A8" t="str">
            <v>HUC-0652</v>
          </cell>
          <cell r="B8">
            <v>14.2</v>
          </cell>
          <cell r="C8">
            <v>14.2</v>
          </cell>
          <cell r="D8">
            <v>14.2</v>
          </cell>
          <cell r="E8">
            <v>14.2</v>
          </cell>
          <cell r="F8">
            <v>14.2</v>
          </cell>
          <cell r="G8">
            <v>14.2</v>
          </cell>
          <cell r="H8">
            <v>14.2</v>
          </cell>
          <cell r="I8">
            <v>14.2</v>
          </cell>
          <cell r="J8">
            <v>14.2</v>
          </cell>
          <cell r="K8">
            <v>14.2</v>
          </cell>
          <cell r="L8">
            <v>14.2</v>
          </cell>
          <cell r="M8">
            <v>14.2</v>
          </cell>
          <cell r="N8">
            <v>14.2</v>
          </cell>
          <cell r="O8">
            <v>14.2</v>
          </cell>
          <cell r="P8">
            <v>14.2</v>
          </cell>
          <cell r="Q8">
            <v>14.2</v>
          </cell>
          <cell r="R8">
            <v>14.2</v>
          </cell>
          <cell r="S8">
            <v>14.2</v>
          </cell>
          <cell r="T8">
            <v>14.2</v>
          </cell>
          <cell r="AK8">
            <v>2</v>
          </cell>
          <cell r="AL8" t="str">
            <v>INERI LUIZ PESENTE</v>
          </cell>
        </row>
        <row r="9">
          <cell r="A9" t="str">
            <v>HVI-5928</v>
          </cell>
          <cell r="B9">
            <v>12</v>
          </cell>
          <cell r="C9">
            <v>12</v>
          </cell>
          <cell r="D9">
            <v>12</v>
          </cell>
          <cell r="E9">
            <v>12</v>
          </cell>
          <cell r="F9">
            <v>12</v>
          </cell>
          <cell r="G9">
            <v>12</v>
          </cell>
          <cell r="H9">
            <v>12</v>
          </cell>
          <cell r="I9">
            <v>12</v>
          </cell>
          <cell r="J9">
            <v>12</v>
          </cell>
          <cell r="K9">
            <v>12</v>
          </cell>
          <cell r="L9">
            <v>12</v>
          </cell>
          <cell r="M9">
            <v>12</v>
          </cell>
          <cell r="N9">
            <v>12</v>
          </cell>
          <cell r="O9">
            <v>12</v>
          </cell>
          <cell r="P9">
            <v>12</v>
          </cell>
          <cell r="Q9">
            <v>12</v>
          </cell>
          <cell r="R9">
            <v>12</v>
          </cell>
          <cell r="S9">
            <v>12</v>
          </cell>
          <cell r="T9">
            <v>12</v>
          </cell>
          <cell r="AK9">
            <v>55</v>
          </cell>
          <cell r="AL9" t="str">
            <v>MERIANE MOREIRA PESENTE</v>
          </cell>
        </row>
        <row r="10">
          <cell r="A10" t="str">
            <v>KUI-2993</v>
          </cell>
          <cell r="B10">
            <v>12</v>
          </cell>
          <cell r="C10">
            <v>12</v>
          </cell>
          <cell r="D10">
            <v>12</v>
          </cell>
          <cell r="E10">
            <v>12</v>
          </cell>
          <cell r="F10">
            <v>12</v>
          </cell>
          <cell r="G10">
            <v>12</v>
          </cell>
          <cell r="H10">
            <v>12</v>
          </cell>
          <cell r="I10">
            <v>12</v>
          </cell>
          <cell r="J10">
            <v>12</v>
          </cell>
          <cell r="K10">
            <v>12</v>
          </cell>
          <cell r="L10">
            <v>12</v>
          </cell>
          <cell r="M10">
            <v>12</v>
          </cell>
          <cell r="N10">
            <v>12</v>
          </cell>
          <cell r="O10">
            <v>12</v>
          </cell>
          <cell r="P10">
            <v>12</v>
          </cell>
          <cell r="Q10">
            <v>12</v>
          </cell>
          <cell r="R10">
            <v>12</v>
          </cell>
          <cell r="S10">
            <v>12</v>
          </cell>
          <cell r="T10">
            <v>12</v>
          </cell>
          <cell r="AK10">
            <v>3</v>
          </cell>
          <cell r="AL10" t="str">
            <v>LOURIVAL ALVES DA CRUZ</v>
          </cell>
        </row>
        <row r="11">
          <cell r="A11" t="str">
            <v>HOO-2726</v>
          </cell>
          <cell r="B11">
            <v>12</v>
          </cell>
          <cell r="C11">
            <v>12</v>
          </cell>
          <cell r="D11">
            <v>12</v>
          </cell>
          <cell r="E11">
            <v>12</v>
          </cell>
          <cell r="F11">
            <v>12</v>
          </cell>
          <cell r="G11">
            <v>12</v>
          </cell>
          <cell r="H11">
            <v>12</v>
          </cell>
          <cell r="I11">
            <v>12</v>
          </cell>
          <cell r="J11">
            <v>12</v>
          </cell>
          <cell r="K11">
            <v>12</v>
          </cell>
          <cell r="L11">
            <v>12</v>
          </cell>
          <cell r="M11">
            <v>12</v>
          </cell>
          <cell r="N11">
            <v>12</v>
          </cell>
          <cell r="O11">
            <v>12</v>
          </cell>
          <cell r="P11">
            <v>12</v>
          </cell>
          <cell r="Q11">
            <v>12</v>
          </cell>
          <cell r="R11">
            <v>12</v>
          </cell>
          <cell r="S11">
            <v>12</v>
          </cell>
          <cell r="T11">
            <v>12</v>
          </cell>
          <cell r="AK11">
            <v>4</v>
          </cell>
          <cell r="AL11" t="str">
            <v>MANOEL DAMIÃO PINHEIRO VIEIRA</v>
          </cell>
        </row>
        <row r="12">
          <cell r="A12" t="str">
            <v>JCC-8708</v>
          </cell>
          <cell r="B12">
            <v>12</v>
          </cell>
          <cell r="C12">
            <v>12</v>
          </cell>
          <cell r="D12">
            <v>12</v>
          </cell>
          <cell r="E12">
            <v>12</v>
          </cell>
          <cell r="F12">
            <v>12</v>
          </cell>
          <cell r="G12">
            <v>12</v>
          </cell>
          <cell r="H12">
            <v>12</v>
          </cell>
          <cell r="I12">
            <v>12</v>
          </cell>
          <cell r="J12">
            <v>12</v>
          </cell>
          <cell r="K12">
            <v>12</v>
          </cell>
          <cell r="L12">
            <v>12</v>
          </cell>
          <cell r="M12">
            <v>12</v>
          </cell>
          <cell r="N12">
            <v>12</v>
          </cell>
          <cell r="O12">
            <v>12</v>
          </cell>
          <cell r="P12">
            <v>12</v>
          </cell>
          <cell r="Q12">
            <v>12</v>
          </cell>
          <cell r="R12">
            <v>12</v>
          </cell>
          <cell r="S12">
            <v>12</v>
          </cell>
          <cell r="T12">
            <v>12</v>
          </cell>
          <cell r="AK12">
            <v>5</v>
          </cell>
          <cell r="AL12" t="str">
            <v>MARIANO PEREIRA DOS SANTOS</v>
          </cell>
        </row>
        <row r="13">
          <cell r="A13" t="str">
            <v>HVJ-2936</v>
          </cell>
          <cell r="B13">
            <v>16.5</v>
          </cell>
          <cell r="C13">
            <v>16.5</v>
          </cell>
          <cell r="D13">
            <v>16.5</v>
          </cell>
          <cell r="E13">
            <v>16.5</v>
          </cell>
          <cell r="F13">
            <v>16.5</v>
          </cell>
          <cell r="G13">
            <v>16.5</v>
          </cell>
          <cell r="H13">
            <v>16.5</v>
          </cell>
          <cell r="I13">
            <v>16.5</v>
          </cell>
          <cell r="J13">
            <v>16.5</v>
          </cell>
          <cell r="K13">
            <v>16.5</v>
          </cell>
          <cell r="L13">
            <v>16.5</v>
          </cell>
          <cell r="M13">
            <v>16.5</v>
          </cell>
          <cell r="N13">
            <v>16.5</v>
          </cell>
          <cell r="O13">
            <v>16.5</v>
          </cell>
          <cell r="P13">
            <v>16.5</v>
          </cell>
          <cell r="Q13">
            <v>16.5</v>
          </cell>
          <cell r="R13">
            <v>16.5</v>
          </cell>
          <cell r="S13">
            <v>16.5</v>
          </cell>
          <cell r="T13">
            <v>16.5</v>
          </cell>
          <cell r="AK13">
            <v>6</v>
          </cell>
          <cell r="AL13" t="str">
            <v>FRANCISCO SÉRGIO ARAÚJO</v>
          </cell>
        </row>
        <row r="14">
          <cell r="A14" t="str">
            <v>HVK-2390</v>
          </cell>
          <cell r="B14">
            <v>16.5</v>
          </cell>
          <cell r="C14">
            <v>16.5</v>
          </cell>
          <cell r="D14">
            <v>16.5</v>
          </cell>
          <cell r="E14">
            <v>16.5</v>
          </cell>
          <cell r="F14">
            <v>16.5</v>
          </cell>
          <cell r="G14">
            <v>16.5</v>
          </cell>
          <cell r="H14">
            <v>16.5</v>
          </cell>
          <cell r="I14">
            <v>16.5</v>
          </cell>
          <cell r="J14">
            <v>16.5</v>
          </cell>
          <cell r="K14">
            <v>16.5</v>
          </cell>
          <cell r="L14">
            <v>16.5</v>
          </cell>
          <cell r="M14">
            <v>16.5</v>
          </cell>
          <cell r="N14">
            <v>16.5</v>
          </cell>
          <cell r="O14">
            <v>16.5</v>
          </cell>
          <cell r="P14">
            <v>16.5</v>
          </cell>
          <cell r="Q14">
            <v>16.5</v>
          </cell>
          <cell r="R14">
            <v>16.5</v>
          </cell>
          <cell r="S14">
            <v>16.5</v>
          </cell>
          <cell r="T14">
            <v>16.5</v>
          </cell>
          <cell r="AK14">
            <v>6</v>
          </cell>
          <cell r="AL14" t="str">
            <v>FRANCISCO SÉRGIO ARAÚJO</v>
          </cell>
        </row>
        <row r="15">
          <cell r="A15" t="str">
            <v>MMP-6198</v>
          </cell>
          <cell r="B15">
            <v>12</v>
          </cell>
          <cell r="C15">
            <v>12</v>
          </cell>
          <cell r="D15">
            <v>12</v>
          </cell>
          <cell r="E15">
            <v>12</v>
          </cell>
          <cell r="F15">
            <v>12</v>
          </cell>
          <cell r="G15">
            <v>12</v>
          </cell>
          <cell r="H15">
            <v>12</v>
          </cell>
          <cell r="I15">
            <v>12</v>
          </cell>
          <cell r="J15">
            <v>12</v>
          </cell>
          <cell r="K15">
            <v>12</v>
          </cell>
          <cell r="L15">
            <v>12</v>
          </cell>
          <cell r="M15">
            <v>12</v>
          </cell>
          <cell r="N15">
            <v>12</v>
          </cell>
          <cell r="O15">
            <v>12</v>
          </cell>
          <cell r="P15">
            <v>12</v>
          </cell>
          <cell r="Q15">
            <v>12</v>
          </cell>
          <cell r="R15">
            <v>12</v>
          </cell>
          <cell r="S15">
            <v>12</v>
          </cell>
          <cell r="T15">
            <v>12</v>
          </cell>
          <cell r="AK15">
            <v>7</v>
          </cell>
          <cell r="AL15" t="str">
            <v xml:space="preserve">VALDERI DE MELO SILVA </v>
          </cell>
        </row>
        <row r="16">
          <cell r="A16" t="str">
            <v>HVK-2590</v>
          </cell>
          <cell r="B16">
            <v>12</v>
          </cell>
          <cell r="C16">
            <v>12</v>
          </cell>
          <cell r="D16">
            <v>12</v>
          </cell>
          <cell r="E16">
            <v>12</v>
          </cell>
          <cell r="F16">
            <v>12</v>
          </cell>
          <cell r="G16">
            <v>12</v>
          </cell>
          <cell r="H16">
            <v>12</v>
          </cell>
          <cell r="I16">
            <v>12</v>
          </cell>
          <cell r="J16">
            <v>12</v>
          </cell>
          <cell r="K16">
            <v>12</v>
          </cell>
          <cell r="L16">
            <v>12</v>
          </cell>
          <cell r="M16">
            <v>12</v>
          </cell>
          <cell r="N16">
            <v>12</v>
          </cell>
          <cell r="O16">
            <v>12</v>
          </cell>
          <cell r="P16">
            <v>12</v>
          </cell>
          <cell r="Q16">
            <v>12</v>
          </cell>
          <cell r="R16">
            <v>12</v>
          </cell>
          <cell r="S16">
            <v>12</v>
          </cell>
          <cell r="T16">
            <v>12</v>
          </cell>
          <cell r="AK16">
            <v>8</v>
          </cell>
          <cell r="AL16" t="str">
            <v>LUIZ EVANDRO SOARES BEZERRA</v>
          </cell>
        </row>
        <row r="17">
          <cell r="A17" t="str">
            <v>JTY-6618</v>
          </cell>
          <cell r="B17">
            <v>12.5</v>
          </cell>
          <cell r="C17">
            <v>12.5</v>
          </cell>
          <cell r="D17">
            <v>12.5</v>
          </cell>
          <cell r="E17">
            <v>12.5</v>
          </cell>
          <cell r="F17">
            <v>12.5</v>
          </cell>
          <cell r="G17">
            <v>12.5</v>
          </cell>
          <cell r="H17">
            <v>12.5</v>
          </cell>
          <cell r="I17">
            <v>12.5</v>
          </cell>
          <cell r="J17">
            <v>12.5</v>
          </cell>
          <cell r="K17">
            <v>12.5</v>
          </cell>
          <cell r="L17">
            <v>12.5</v>
          </cell>
          <cell r="M17">
            <v>12.5</v>
          </cell>
          <cell r="N17">
            <v>12.5</v>
          </cell>
          <cell r="O17">
            <v>12.5</v>
          </cell>
          <cell r="P17">
            <v>12.5</v>
          </cell>
          <cell r="Q17">
            <v>12.5</v>
          </cell>
          <cell r="R17">
            <v>12.5</v>
          </cell>
          <cell r="S17">
            <v>12.5</v>
          </cell>
          <cell r="T17">
            <v>12.5</v>
          </cell>
          <cell r="AK17">
            <v>9</v>
          </cell>
          <cell r="AL17" t="str">
            <v>JOSÉ MANOEL DAS CHAGAS</v>
          </cell>
        </row>
        <row r="18">
          <cell r="A18" t="str">
            <v>HUI-1335</v>
          </cell>
          <cell r="B18">
            <v>12</v>
          </cell>
          <cell r="C18">
            <v>12</v>
          </cell>
          <cell r="D18">
            <v>12</v>
          </cell>
          <cell r="E18">
            <v>12</v>
          </cell>
          <cell r="F18">
            <v>12</v>
          </cell>
          <cell r="G18">
            <v>12</v>
          </cell>
          <cell r="H18">
            <v>12</v>
          </cell>
          <cell r="I18">
            <v>12</v>
          </cell>
          <cell r="J18">
            <v>12</v>
          </cell>
          <cell r="K18">
            <v>12</v>
          </cell>
          <cell r="L18">
            <v>12</v>
          </cell>
          <cell r="M18">
            <v>12</v>
          </cell>
          <cell r="N18">
            <v>12</v>
          </cell>
          <cell r="O18">
            <v>12</v>
          </cell>
          <cell r="P18">
            <v>12</v>
          </cell>
          <cell r="Q18">
            <v>12</v>
          </cell>
          <cell r="R18">
            <v>12</v>
          </cell>
          <cell r="S18">
            <v>12</v>
          </cell>
          <cell r="T18">
            <v>12</v>
          </cell>
          <cell r="AK18">
            <v>10</v>
          </cell>
          <cell r="AL18" t="str">
            <v>ANTONIA FERREIRA LIMA</v>
          </cell>
        </row>
        <row r="19">
          <cell r="A19" t="str">
            <v>HVI-5668</v>
          </cell>
          <cell r="B19">
            <v>12</v>
          </cell>
          <cell r="C19">
            <v>12</v>
          </cell>
          <cell r="D19">
            <v>12</v>
          </cell>
          <cell r="E19">
            <v>12</v>
          </cell>
          <cell r="F19">
            <v>12</v>
          </cell>
          <cell r="G19">
            <v>12</v>
          </cell>
          <cell r="H19">
            <v>12</v>
          </cell>
          <cell r="I19">
            <v>12</v>
          </cell>
          <cell r="J19">
            <v>12</v>
          </cell>
          <cell r="K19">
            <v>12</v>
          </cell>
          <cell r="L19">
            <v>12</v>
          </cell>
          <cell r="M19">
            <v>12</v>
          </cell>
          <cell r="N19">
            <v>12</v>
          </cell>
          <cell r="O19">
            <v>12</v>
          </cell>
          <cell r="P19">
            <v>12</v>
          </cell>
          <cell r="Q19">
            <v>12</v>
          </cell>
          <cell r="R19">
            <v>12</v>
          </cell>
          <cell r="S19">
            <v>12</v>
          </cell>
          <cell r="T19">
            <v>12</v>
          </cell>
          <cell r="AK19">
            <v>11</v>
          </cell>
          <cell r="AL19" t="str">
            <v>JOSÉ STENIO M. BANDEIRA</v>
          </cell>
        </row>
        <row r="20">
          <cell r="A20" t="str">
            <v>HUD-4712</v>
          </cell>
          <cell r="B20">
            <v>12</v>
          </cell>
          <cell r="C20">
            <v>12</v>
          </cell>
          <cell r="D20">
            <v>12</v>
          </cell>
          <cell r="E20">
            <v>12</v>
          </cell>
          <cell r="F20">
            <v>12</v>
          </cell>
          <cell r="G20">
            <v>12</v>
          </cell>
          <cell r="H20">
            <v>12</v>
          </cell>
          <cell r="I20">
            <v>12</v>
          </cell>
          <cell r="J20">
            <v>12</v>
          </cell>
          <cell r="K20">
            <v>12</v>
          </cell>
          <cell r="L20">
            <v>12</v>
          </cell>
          <cell r="M20">
            <v>12</v>
          </cell>
          <cell r="N20">
            <v>12</v>
          </cell>
          <cell r="O20">
            <v>12</v>
          </cell>
          <cell r="P20">
            <v>12</v>
          </cell>
          <cell r="Q20">
            <v>12</v>
          </cell>
          <cell r="R20">
            <v>12</v>
          </cell>
          <cell r="S20">
            <v>12</v>
          </cell>
          <cell r="T20">
            <v>12</v>
          </cell>
          <cell r="AK20">
            <v>12</v>
          </cell>
          <cell r="AL20" t="str">
            <v>MESSIAS SANTIAGO DA SILVA</v>
          </cell>
        </row>
        <row r="21">
          <cell r="A21" t="str">
            <v>HVL-4173</v>
          </cell>
          <cell r="B21">
            <v>12.5</v>
          </cell>
          <cell r="C21">
            <v>12.5</v>
          </cell>
          <cell r="D21">
            <v>12.5</v>
          </cell>
          <cell r="E21">
            <v>12.5</v>
          </cell>
          <cell r="F21">
            <v>12.5</v>
          </cell>
          <cell r="G21">
            <v>12.5</v>
          </cell>
          <cell r="H21">
            <v>12.5</v>
          </cell>
          <cell r="I21">
            <v>12.5</v>
          </cell>
          <cell r="J21">
            <v>12.5</v>
          </cell>
          <cell r="K21">
            <v>12.5</v>
          </cell>
          <cell r="L21">
            <v>12.5</v>
          </cell>
          <cell r="M21">
            <v>12.5</v>
          </cell>
          <cell r="N21">
            <v>12.5</v>
          </cell>
          <cell r="O21">
            <v>12.5</v>
          </cell>
          <cell r="P21">
            <v>12.5</v>
          </cell>
          <cell r="Q21">
            <v>12.5</v>
          </cell>
          <cell r="R21">
            <v>12.5</v>
          </cell>
          <cell r="S21">
            <v>12.5</v>
          </cell>
          <cell r="T21">
            <v>12.5</v>
          </cell>
          <cell r="AK21">
            <v>13</v>
          </cell>
          <cell r="AL21" t="str">
            <v>ANTÔNIO MOREIRA DE SOUSA LIMA NETO</v>
          </cell>
        </row>
        <row r="22">
          <cell r="A22" t="str">
            <v>HVB-5525</v>
          </cell>
          <cell r="B22">
            <v>12.5</v>
          </cell>
          <cell r="C22">
            <v>12.5</v>
          </cell>
          <cell r="D22">
            <v>12.5</v>
          </cell>
          <cell r="E22">
            <v>12.5</v>
          </cell>
          <cell r="F22">
            <v>12.5</v>
          </cell>
          <cell r="G22">
            <v>12.5</v>
          </cell>
          <cell r="H22">
            <v>12.5</v>
          </cell>
          <cell r="I22">
            <v>12.5</v>
          </cell>
          <cell r="J22">
            <v>12.5</v>
          </cell>
          <cell r="K22">
            <v>12.5</v>
          </cell>
          <cell r="L22">
            <v>12.5</v>
          </cell>
          <cell r="M22">
            <v>12.5</v>
          </cell>
          <cell r="N22">
            <v>12.5</v>
          </cell>
          <cell r="O22">
            <v>12.5</v>
          </cell>
          <cell r="P22">
            <v>12.5</v>
          </cell>
          <cell r="Q22">
            <v>12.5</v>
          </cell>
          <cell r="R22">
            <v>12.5</v>
          </cell>
          <cell r="S22">
            <v>12.5</v>
          </cell>
          <cell r="T22">
            <v>12.5</v>
          </cell>
          <cell r="AK22">
            <v>14</v>
          </cell>
          <cell r="AL22" t="str">
            <v>FRANCISCO LUZIEUDO DE ALEMEIDA</v>
          </cell>
        </row>
        <row r="23">
          <cell r="A23" t="str">
            <v>MUJ-8275</v>
          </cell>
          <cell r="B23">
            <v>12.5</v>
          </cell>
          <cell r="C23">
            <v>12.5</v>
          </cell>
          <cell r="D23">
            <v>12.5</v>
          </cell>
          <cell r="E23">
            <v>12.5</v>
          </cell>
          <cell r="F23">
            <v>12.5</v>
          </cell>
          <cell r="G23">
            <v>12.5</v>
          </cell>
          <cell r="H23">
            <v>12.5</v>
          </cell>
          <cell r="I23">
            <v>12.5</v>
          </cell>
          <cell r="J23">
            <v>12.5</v>
          </cell>
          <cell r="K23">
            <v>12.5</v>
          </cell>
          <cell r="L23">
            <v>12.5</v>
          </cell>
          <cell r="M23">
            <v>12.5</v>
          </cell>
          <cell r="N23">
            <v>12.5</v>
          </cell>
          <cell r="O23">
            <v>12.5</v>
          </cell>
          <cell r="P23">
            <v>12.5</v>
          </cell>
          <cell r="Q23">
            <v>12.5</v>
          </cell>
          <cell r="R23">
            <v>12.5</v>
          </cell>
          <cell r="S23">
            <v>12.5</v>
          </cell>
          <cell r="T23">
            <v>12.5</v>
          </cell>
          <cell r="AK23">
            <v>15</v>
          </cell>
          <cell r="AL23" t="str">
            <v>EZEQUIEL BRITO DE OLIVEIRA</v>
          </cell>
        </row>
        <row r="24">
          <cell r="A24" t="str">
            <v>AB-8267</v>
          </cell>
          <cell r="B24">
            <v>13</v>
          </cell>
          <cell r="C24">
            <v>13</v>
          </cell>
          <cell r="D24">
            <v>13</v>
          </cell>
          <cell r="E24">
            <v>13</v>
          </cell>
          <cell r="F24">
            <v>13</v>
          </cell>
          <cell r="G24">
            <v>13</v>
          </cell>
          <cell r="H24">
            <v>13</v>
          </cell>
          <cell r="I24">
            <v>13</v>
          </cell>
          <cell r="J24">
            <v>13</v>
          </cell>
          <cell r="K24">
            <v>13</v>
          </cell>
          <cell r="L24">
            <v>13</v>
          </cell>
          <cell r="M24">
            <v>13</v>
          </cell>
          <cell r="N24">
            <v>13</v>
          </cell>
          <cell r="O24">
            <v>13</v>
          </cell>
          <cell r="P24">
            <v>13</v>
          </cell>
          <cell r="Q24">
            <v>13</v>
          </cell>
          <cell r="R24">
            <v>13</v>
          </cell>
          <cell r="S24">
            <v>13</v>
          </cell>
          <cell r="T24">
            <v>13</v>
          </cell>
          <cell r="AK24">
            <v>16</v>
          </cell>
          <cell r="AL24" t="str">
            <v>FRANCISCO LIELDO COSTA</v>
          </cell>
        </row>
        <row r="25">
          <cell r="A25" t="str">
            <v>RI-9894</v>
          </cell>
          <cell r="B25">
            <v>14.5</v>
          </cell>
          <cell r="C25">
            <v>14.5</v>
          </cell>
          <cell r="D25">
            <v>14.5</v>
          </cell>
          <cell r="E25">
            <v>14.5</v>
          </cell>
          <cell r="F25">
            <v>14.5</v>
          </cell>
          <cell r="G25">
            <v>14.5</v>
          </cell>
          <cell r="H25">
            <v>14.5</v>
          </cell>
          <cell r="I25">
            <v>14.5</v>
          </cell>
          <cell r="J25">
            <v>14.5</v>
          </cell>
          <cell r="K25">
            <v>14.5</v>
          </cell>
          <cell r="L25">
            <v>14.5</v>
          </cell>
          <cell r="M25">
            <v>14.5</v>
          </cell>
          <cell r="N25">
            <v>14.5</v>
          </cell>
          <cell r="O25">
            <v>14.5</v>
          </cell>
          <cell r="P25">
            <v>14.5</v>
          </cell>
          <cell r="Q25">
            <v>14.5</v>
          </cell>
          <cell r="R25">
            <v>14.5</v>
          </cell>
          <cell r="S25">
            <v>14.5</v>
          </cell>
          <cell r="T25">
            <v>14.5</v>
          </cell>
          <cell r="AK25">
            <v>17</v>
          </cell>
          <cell r="AL25" t="str">
            <v>FRANCISCO DE ASSIS FERNANDES</v>
          </cell>
        </row>
        <row r="26">
          <cell r="A26" t="str">
            <v>JYA-5101</v>
          </cell>
          <cell r="B26">
            <v>13</v>
          </cell>
          <cell r="C26">
            <v>13</v>
          </cell>
          <cell r="D26">
            <v>13</v>
          </cell>
          <cell r="E26">
            <v>13</v>
          </cell>
          <cell r="F26">
            <v>13</v>
          </cell>
          <cell r="G26">
            <v>13</v>
          </cell>
          <cell r="H26">
            <v>13</v>
          </cell>
          <cell r="I26">
            <v>13</v>
          </cell>
          <cell r="J26">
            <v>13</v>
          </cell>
          <cell r="K26">
            <v>13</v>
          </cell>
          <cell r="L26">
            <v>13</v>
          </cell>
          <cell r="M26">
            <v>13</v>
          </cell>
          <cell r="N26">
            <v>13</v>
          </cell>
          <cell r="O26">
            <v>13</v>
          </cell>
          <cell r="P26">
            <v>13</v>
          </cell>
          <cell r="Q26">
            <v>13</v>
          </cell>
          <cell r="R26">
            <v>13</v>
          </cell>
          <cell r="S26">
            <v>13</v>
          </cell>
          <cell r="T26">
            <v>13</v>
          </cell>
          <cell r="AK26">
            <v>17</v>
          </cell>
          <cell r="AL26" t="str">
            <v>FRANCISCO DE ASSIS FERNANDES</v>
          </cell>
        </row>
        <row r="27">
          <cell r="A27" t="str">
            <v>JNW-8949</v>
          </cell>
          <cell r="B27">
            <v>12.5</v>
          </cell>
          <cell r="C27">
            <v>12.5</v>
          </cell>
          <cell r="D27">
            <v>12.5</v>
          </cell>
          <cell r="E27">
            <v>12.5</v>
          </cell>
          <cell r="F27">
            <v>12.5</v>
          </cell>
          <cell r="G27">
            <v>12.5</v>
          </cell>
          <cell r="H27">
            <v>12.5</v>
          </cell>
          <cell r="I27">
            <v>12.5</v>
          </cell>
          <cell r="J27">
            <v>12.5</v>
          </cell>
          <cell r="K27">
            <v>12.5</v>
          </cell>
          <cell r="L27">
            <v>12.5</v>
          </cell>
          <cell r="M27">
            <v>12.5</v>
          </cell>
          <cell r="N27">
            <v>12.5</v>
          </cell>
          <cell r="O27">
            <v>12.5</v>
          </cell>
          <cell r="P27">
            <v>12.5</v>
          </cell>
          <cell r="Q27">
            <v>12.5</v>
          </cell>
          <cell r="R27">
            <v>12.5</v>
          </cell>
          <cell r="S27">
            <v>12.5</v>
          </cell>
          <cell r="T27">
            <v>12.5</v>
          </cell>
          <cell r="AK27">
            <v>16</v>
          </cell>
          <cell r="AL27" t="str">
            <v>FRANCISCO LIELDO COSTA</v>
          </cell>
        </row>
        <row r="28">
          <cell r="A28" t="str">
            <v>HOX-4048</v>
          </cell>
          <cell r="B28">
            <v>12.5</v>
          </cell>
          <cell r="C28">
            <v>12.5</v>
          </cell>
          <cell r="D28">
            <v>12.5</v>
          </cell>
          <cell r="E28">
            <v>12.5</v>
          </cell>
          <cell r="F28">
            <v>12.5</v>
          </cell>
          <cell r="G28">
            <v>12.5</v>
          </cell>
          <cell r="H28">
            <v>12.5</v>
          </cell>
          <cell r="I28">
            <v>12.5</v>
          </cell>
          <cell r="J28">
            <v>12.5</v>
          </cell>
          <cell r="K28">
            <v>12.5</v>
          </cell>
          <cell r="L28">
            <v>12.5</v>
          </cell>
          <cell r="M28">
            <v>12.5</v>
          </cell>
          <cell r="N28">
            <v>12.5</v>
          </cell>
          <cell r="O28">
            <v>12.5</v>
          </cell>
          <cell r="P28">
            <v>12.5</v>
          </cell>
          <cell r="Q28">
            <v>12.5</v>
          </cell>
          <cell r="R28">
            <v>12.5</v>
          </cell>
          <cell r="S28">
            <v>12.5</v>
          </cell>
          <cell r="T28">
            <v>12.5</v>
          </cell>
          <cell r="AK28">
            <v>18</v>
          </cell>
          <cell r="AL28" t="str">
            <v>RICARDO SILVA SOUZA</v>
          </cell>
        </row>
        <row r="29">
          <cell r="A29" t="str">
            <v>HVI-3418</v>
          </cell>
          <cell r="B29">
            <v>12.15</v>
          </cell>
          <cell r="C29">
            <v>12.15</v>
          </cell>
          <cell r="D29">
            <v>12.15</v>
          </cell>
          <cell r="E29">
            <v>12.15</v>
          </cell>
          <cell r="F29">
            <v>12.15</v>
          </cell>
          <cell r="G29">
            <v>12.15</v>
          </cell>
          <cell r="H29">
            <v>12.15</v>
          </cell>
          <cell r="I29">
            <v>12.15</v>
          </cell>
          <cell r="J29">
            <v>12.15</v>
          </cell>
          <cell r="K29">
            <v>12.15</v>
          </cell>
          <cell r="L29">
            <v>12.15</v>
          </cell>
          <cell r="M29">
            <v>12.15</v>
          </cell>
          <cell r="N29">
            <v>12.15</v>
          </cell>
          <cell r="O29">
            <v>12.15</v>
          </cell>
          <cell r="P29">
            <v>12.15</v>
          </cell>
          <cell r="Q29">
            <v>12.15</v>
          </cell>
          <cell r="R29">
            <v>12.15</v>
          </cell>
          <cell r="S29">
            <v>12.15</v>
          </cell>
          <cell r="T29">
            <v>12.15</v>
          </cell>
          <cell r="AK29">
            <v>19</v>
          </cell>
          <cell r="AL29" t="str">
            <v>JOSÉ EDILSON AGRELA BARROSO</v>
          </cell>
        </row>
        <row r="30">
          <cell r="A30" t="str">
            <v>BWC-7096</v>
          </cell>
          <cell r="B30">
            <v>14</v>
          </cell>
          <cell r="C30">
            <v>14</v>
          </cell>
          <cell r="D30">
            <v>14</v>
          </cell>
          <cell r="E30">
            <v>14</v>
          </cell>
          <cell r="F30">
            <v>14</v>
          </cell>
          <cell r="G30">
            <v>14</v>
          </cell>
          <cell r="H30">
            <v>14</v>
          </cell>
          <cell r="I30">
            <v>14</v>
          </cell>
          <cell r="J30">
            <v>14</v>
          </cell>
          <cell r="K30">
            <v>14</v>
          </cell>
          <cell r="L30">
            <v>14</v>
          </cell>
          <cell r="M30">
            <v>14</v>
          </cell>
          <cell r="N30">
            <v>14</v>
          </cell>
          <cell r="O30">
            <v>14</v>
          </cell>
          <cell r="P30">
            <v>14</v>
          </cell>
          <cell r="Q30">
            <v>14</v>
          </cell>
          <cell r="R30">
            <v>14</v>
          </cell>
          <cell r="S30">
            <v>14</v>
          </cell>
          <cell r="T30">
            <v>14</v>
          </cell>
          <cell r="AK30">
            <v>20</v>
          </cell>
          <cell r="AL30" t="str">
            <v>JOSÉ FERREIRA MAIA</v>
          </cell>
        </row>
        <row r="31">
          <cell r="A31" t="str">
            <v>JTI-4264</v>
          </cell>
          <cell r="B31">
            <v>12.5</v>
          </cell>
          <cell r="C31">
            <v>12.5</v>
          </cell>
          <cell r="D31">
            <v>12.5</v>
          </cell>
          <cell r="E31">
            <v>12.5</v>
          </cell>
          <cell r="F31">
            <v>12.5</v>
          </cell>
          <cell r="G31">
            <v>12.5</v>
          </cell>
          <cell r="H31">
            <v>12.5</v>
          </cell>
          <cell r="I31">
            <v>12.5</v>
          </cell>
          <cell r="J31">
            <v>12.5</v>
          </cell>
          <cell r="K31">
            <v>12.5</v>
          </cell>
          <cell r="L31">
            <v>12.5</v>
          </cell>
          <cell r="M31">
            <v>12.5</v>
          </cell>
          <cell r="N31">
            <v>12.5</v>
          </cell>
          <cell r="O31">
            <v>12.5</v>
          </cell>
          <cell r="P31">
            <v>12.5</v>
          </cell>
          <cell r="Q31">
            <v>12.5</v>
          </cell>
          <cell r="R31">
            <v>12.5</v>
          </cell>
          <cell r="S31">
            <v>12.5</v>
          </cell>
          <cell r="T31">
            <v>12.5</v>
          </cell>
          <cell r="AK31">
            <v>21</v>
          </cell>
          <cell r="AL31" t="str">
            <v>MANUEL ALDACI ALVES MARTINS</v>
          </cell>
        </row>
        <row r="32">
          <cell r="A32" t="str">
            <v>MMV-5387</v>
          </cell>
          <cell r="B32">
            <v>13</v>
          </cell>
          <cell r="C32">
            <v>13</v>
          </cell>
          <cell r="D32">
            <v>13</v>
          </cell>
          <cell r="E32">
            <v>13</v>
          </cell>
          <cell r="F32">
            <v>13</v>
          </cell>
          <cell r="G32">
            <v>13</v>
          </cell>
          <cell r="H32">
            <v>13</v>
          </cell>
          <cell r="I32">
            <v>13</v>
          </cell>
          <cell r="J32">
            <v>13</v>
          </cell>
          <cell r="K32">
            <v>13</v>
          </cell>
          <cell r="L32">
            <v>13</v>
          </cell>
          <cell r="M32">
            <v>13</v>
          </cell>
          <cell r="N32">
            <v>13</v>
          </cell>
          <cell r="O32">
            <v>13</v>
          </cell>
          <cell r="P32">
            <v>13</v>
          </cell>
          <cell r="Q32">
            <v>13</v>
          </cell>
          <cell r="R32">
            <v>13</v>
          </cell>
          <cell r="S32">
            <v>13</v>
          </cell>
          <cell r="T32">
            <v>13</v>
          </cell>
          <cell r="AK32">
            <v>49</v>
          </cell>
          <cell r="AL32" t="str">
            <v>PAULINA ALVES DA SILVA FREIRE</v>
          </cell>
        </row>
        <row r="33">
          <cell r="A33" t="str">
            <v>HTY-2671</v>
          </cell>
          <cell r="B33">
            <v>12.2</v>
          </cell>
          <cell r="C33">
            <v>12.2</v>
          </cell>
          <cell r="D33">
            <v>12.2</v>
          </cell>
          <cell r="E33">
            <v>12.2</v>
          </cell>
          <cell r="F33">
            <v>12.2</v>
          </cell>
          <cell r="G33">
            <v>12.2</v>
          </cell>
          <cell r="H33">
            <v>12.2</v>
          </cell>
          <cell r="I33">
            <v>12.2</v>
          </cell>
          <cell r="J33">
            <v>12.2</v>
          </cell>
          <cell r="K33">
            <v>12.2</v>
          </cell>
          <cell r="L33">
            <v>12.2</v>
          </cell>
          <cell r="M33">
            <v>12.2</v>
          </cell>
          <cell r="N33">
            <v>12.2</v>
          </cell>
          <cell r="O33">
            <v>12.2</v>
          </cell>
          <cell r="P33">
            <v>12.2</v>
          </cell>
          <cell r="Q33">
            <v>12.2</v>
          </cell>
          <cell r="R33">
            <v>12.2</v>
          </cell>
          <cell r="S33">
            <v>12.2</v>
          </cell>
          <cell r="T33">
            <v>12.2</v>
          </cell>
          <cell r="AK33">
            <v>22</v>
          </cell>
          <cell r="AL33" t="str">
            <v>MANOEL ADALTO DA SILVA</v>
          </cell>
        </row>
        <row r="34">
          <cell r="A34" t="str">
            <v>HVR-2600</v>
          </cell>
          <cell r="B34">
            <v>12.1</v>
          </cell>
          <cell r="C34">
            <v>12.1</v>
          </cell>
          <cell r="D34">
            <v>12.1</v>
          </cell>
          <cell r="E34">
            <v>12.1</v>
          </cell>
          <cell r="F34">
            <v>12.1</v>
          </cell>
          <cell r="G34">
            <v>12.1</v>
          </cell>
          <cell r="H34">
            <v>12.1</v>
          </cell>
          <cell r="I34">
            <v>12.1</v>
          </cell>
          <cell r="J34">
            <v>12.1</v>
          </cell>
          <cell r="K34">
            <v>12.1</v>
          </cell>
          <cell r="L34">
            <v>12.1</v>
          </cell>
          <cell r="M34">
            <v>12.1</v>
          </cell>
          <cell r="N34">
            <v>12.1</v>
          </cell>
          <cell r="O34">
            <v>12.1</v>
          </cell>
          <cell r="P34">
            <v>12.1</v>
          </cell>
          <cell r="Q34">
            <v>12.1</v>
          </cell>
          <cell r="R34">
            <v>12.1</v>
          </cell>
          <cell r="S34">
            <v>12.1</v>
          </cell>
          <cell r="T34">
            <v>12.1</v>
          </cell>
          <cell r="AK34">
            <v>22</v>
          </cell>
          <cell r="AL34" t="str">
            <v>MANOEL ADALTO DA SILVA</v>
          </cell>
        </row>
        <row r="35">
          <cell r="A35" t="str">
            <v>LXL-5493</v>
          </cell>
          <cell r="B35">
            <v>13.2</v>
          </cell>
          <cell r="C35">
            <v>13.2</v>
          </cell>
          <cell r="D35">
            <v>13.2</v>
          </cell>
          <cell r="E35">
            <v>13.2</v>
          </cell>
          <cell r="F35">
            <v>13.2</v>
          </cell>
          <cell r="G35">
            <v>13.2</v>
          </cell>
          <cell r="H35">
            <v>13.2</v>
          </cell>
          <cell r="I35">
            <v>13.2</v>
          </cell>
          <cell r="J35">
            <v>13.2</v>
          </cell>
          <cell r="K35">
            <v>13.2</v>
          </cell>
          <cell r="L35">
            <v>13.2</v>
          </cell>
          <cell r="M35">
            <v>13.2</v>
          </cell>
          <cell r="N35">
            <v>13.2</v>
          </cell>
          <cell r="O35">
            <v>13.2</v>
          </cell>
          <cell r="P35">
            <v>13.2</v>
          </cell>
          <cell r="Q35">
            <v>13.2</v>
          </cell>
          <cell r="R35">
            <v>13.2</v>
          </cell>
          <cell r="S35">
            <v>13.2</v>
          </cell>
          <cell r="T35">
            <v>13.2</v>
          </cell>
          <cell r="AK35">
            <v>23</v>
          </cell>
          <cell r="AL35" t="str">
            <v>OSVALDO CAVALCANTE DE LIMA</v>
          </cell>
        </row>
        <row r="36">
          <cell r="A36" t="str">
            <v>AB-1277</v>
          </cell>
          <cell r="B36">
            <v>13.2</v>
          </cell>
          <cell r="C36">
            <v>13.2</v>
          </cell>
          <cell r="D36">
            <v>13.2</v>
          </cell>
          <cell r="E36">
            <v>13.2</v>
          </cell>
          <cell r="F36">
            <v>13.2</v>
          </cell>
          <cell r="G36">
            <v>13.2</v>
          </cell>
          <cell r="H36">
            <v>13.2</v>
          </cell>
          <cell r="I36">
            <v>13.2</v>
          </cell>
          <cell r="J36">
            <v>13.2</v>
          </cell>
          <cell r="K36">
            <v>13.2</v>
          </cell>
          <cell r="L36">
            <v>13.2</v>
          </cell>
          <cell r="M36">
            <v>13.2</v>
          </cell>
          <cell r="N36">
            <v>13.2</v>
          </cell>
          <cell r="O36">
            <v>13.2</v>
          </cell>
          <cell r="P36">
            <v>13.2</v>
          </cell>
          <cell r="Q36">
            <v>13.2</v>
          </cell>
          <cell r="R36">
            <v>13.2</v>
          </cell>
          <cell r="S36">
            <v>13.2</v>
          </cell>
          <cell r="T36">
            <v>13.2</v>
          </cell>
          <cell r="AK36">
            <v>30</v>
          </cell>
          <cell r="AL36" t="str">
            <v>CARLOS AUGUSTO DE SOUZA</v>
          </cell>
        </row>
        <row r="37">
          <cell r="A37" t="str">
            <v>HUK-3698</v>
          </cell>
          <cell r="B37">
            <v>12</v>
          </cell>
          <cell r="C37">
            <v>12</v>
          </cell>
          <cell r="D37">
            <v>12</v>
          </cell>
          <cell r="E37">
            <v>12</v>
          </cell>
          <cell r="F37">
            <v>12</v>
          </cell>
          <cell r="G37">
            <v>12</v>
          </cell>
          <cell r="H37">
            <v>12</v>
          </cell>
          <cell r="I37">
            <v>12</v>
          </cell>
          <cell r="J37">
            <v>12</v>
          </cell>
          <cell r="K37">
            <v>12</v>
          </cell>
          <cell r="L37">
            <v>12</v>
          </cell>
          <cell r="M37">
            <v>12</v>
          </cell>
          <cell r="N37">
            <v>12</v>
          </cell>
          <cell r="O37">
            <v>12</v>
          </cell>
          <cell r="P37">
            <v>12</v>
          </cell>
          <cell r="Q37">
            <v>12</v>
          </cell>
          <cell r="R37">
            <v>12</v>
          </cell>
          <cell r="S37">
            <v>12</v>
          </cell>
          <cell r="T37">
            <v>12</v>
          </cell>
          <cell r="AK37">
            <v>25</v>
          </cell>
          <cell r="AL37" t="str">
            <v>JOSÉ ARAÚJO RIBEIRO</v>
          </cell>
        </row>
        <row r="38">
          <cell r="A38" t="str">
            <v>HVK-5580</v>
          </cell>
          <cell r="B38">
            <v>12</v>
          </cell>
          <cell r="C38">
            <v>12</v>
          </cell>
          <cell r="D38">
            <v>12</v>
          </cell>
          <cell r="E38">
            <v>12</v>
          </cell>
          <cell r="F38">
            <v>12</v>
          </cell>
          <cell r="G38">
            <v>12</v>
          </cell>
          <cell r="H38">
            <v>12</v>
          </cell>
          <cell r="I38">
            <v>12</v>
          </cell>
          <cell r="J38">
            <v>12</v>
          </cell>
          <cell r="K38">
            <v>12</v>
          </cell>
          <cell r="L38">
            <v>12</v>
          </cell>
          <cell r="M38">
            <v>12</v>
          </cell>
          <cell r="N38">
            <v>12</v>
          </cell>
          <cell r="O38">
            <v>12</v>
          </cell>
          <cell r="P38">
            <v>12</v>
          </cell>
          <cell r="Q38">
            <v>12</v>
          </cell>
          <cell r="R38">
            <v>12</v>
          </cell>
          <cell r="S38">
            <v>12</v>
          </cell>
          <cell r="T38">
            <v>12</v>
          </cell>
          <cell r="AK38">
            <v>25</v>
          </cell>
          <cell r="AL38" t="str">
            <v>JOSÉ ARAÚJO RIBEIRO</v>
          </cell>
        </row>
        <row r="39">
          <cell r="A39" t="str">
            <v>JLC-4698</v>
          </cell>
          <cell r="B39">
            <v>15</v>
          </cell>
          <cell r="C39">
            <v>15</v>
          </cell>
          <cell r="D39">
            <v>15</v>
          </cell>
          <cell r="E39">
            <v>15</v>
          </cell>
          <cell r="F39">
            <v>15</v>
          </cell>
          <cell r="G39">
            <v>15</v>
          </cell>
          <cell r="H39">
            <v>15</v>
          </cell>
          <cell r="I39">
            <v>15</v>
          </cell>
          <cell r="J39">
            <v>15</v>
          </cell>
          <cell r="K39">
            <v>15</v>
          </cell>
          <cell r="L39">
            <v>15</v>
          </cell>
          <cell r="M39">
            <v>15</v>
          </cell>
          <cell r="N39">
            <v>15</v>
          </cell>
          <cell r="O39">
            <v>15</v>
          </cell>
          <cell r="P39">
            <v>15</v>
          </cell>
          <cell r="Q39">
            <v>15</v>
          </cell>
          <cell r="R39">
            <v>15</v>
          </cell>
          <cell r="S39">
            <v>15</v>
          </cell>
          <cell r="T39">
            <v>15</v>
          </cell>
          <cell r="AK39">
            <v>6</v>
          </cell>
          <cell r="AL39" t="str">
            <v>FRANCISCO SÉRGIO ARAÚJO</v>
          </cell>
        </row>
        <row r="40">
          <cell r="A40" t="str">
            <v>HVN-9718</v>
          </cell>
          <cell r="B40">
            <v>14</v>
          </cell>
          <cell r="C40">
            <v>14</v>
          </cell>
          <cell r="D40">
            <v>14</v>
          </cell>
          <cell r="E40">
            <v>14</v>
          </cell>
          <cell r="F40">
            <v>14</v>
          </cell>
          <cell r="G40">
            <v>14</v>
          </cell>
          <cell r="H40">
            <v>14</v>
          </cell>
          <cell r="I40">
            <v>14</v>
          </cell>
          <cell r="J40">
            <v>14</v>
          </cell>
          <cell r="K40">
            <v>14</v>
          </cell>
          <cell r="L40">
            <v>14</v>
          </cell>
          <cell r="M40">
            <v>14</v>
          </cell>
          <cell r="N40">
            <v>14</v>
          </cell>
          <cell r="O40">
            <v>14</v>
          </cell>
          <cell r="P40">
            <v>14</v>
          </cell>
          <cell r="Q40">
            <v>14</v>
          </cell>
          <cell r="R40">
            <v>14</v>
          </cell>
          <cell r="S40">
            <v>14</v>
          </cell>
          <cell r="T40">
            <v>14</v>
          </cell>
          <cell r="AK40">
            <v>26</v>
          </cell>
          <cell r="AL40" t="str">
            <v>PAULO DINIZ F. DO NASCIMENTO</v>
          </cell>
        </row>
        <row r="41">
          <cell r="A41" t="str">
            <v>KHR-0205</v>
          </cell>
          <cell r="B41">
            <v>12</v>
          </cell>
          <cell r="C41">
            <v>12</v>
          </cell>
          <cell r="D41">
            <v>12</v>
          </cell>
          <cell r="E41">
            <v>12</v>
          </cell>
          <cell r="F41">
            <v>12</v>
          </cell>
          <cell r="G41">
            <v>12</v>
          </cell>
          <cell r="H41">
            <v>12</v>
          </cell>
          <cell r="I41">
            <v>12</v>
          </cell>
          <cell r="J41">
            <v>12</v>
          </cell>
          <cell r="K41">
            <v>12</v>
          </cell>
          <cell r="L41">
            <v>12</v>
          </cell>
          <cell r="M41">
            <v>12</v>
          </cell>
          <cell r="N41">
            <v>12</v>
          </cell>
          <cell r="O41">
            <v>12</v>
          </cell>
          <cell r="P41">
            <v>12</v>
          </cell>
          <cell r="Q41">
            <v>12</v>
          </cell>
          <cell r="R41">
            <v>12</v>
          </cell>
          <cell r="S41">
            <v>12</v>
          </cell>
          <cell r="T41">
            <v>12</v>
          </cell>
          <cell r="AK41">
            <v>27</v>
          </cell>
          <cell r="AL41" t="str">
            <v>JOSÉ MAURICIO FERREIRA DOS SANTOS</v>
          </cell>
        </row>
        <row r="42">
          <cell r="A42" t="str">
            <v>XI-7909</v>
          </cell>
          <cell r="B42">
            <v>12</v>
          </cell>
          <cell r="C42">
            <v>12</v>
          </cell>
          <cell r="D42">
            <v>12</v>
          </cell>
          <cell r="E42">
            <v>12</v>
          </cell>
          <cell r="F42">
            <v>12</v>
          </cell>
          <cell r="G42">
            <v>12</v>
          </cell>
          <cell r="H42">
            <v>12</v>
          </cell>
          <cell r="I42">
            <v>12</v>
          </cell>
          <cell r="J42">
            <v>12</v>
          </cell>
          <cell r="K42">
            <v>12</v>
          </cell>
          <cell r="L42">
            <v>12</v>
          </cell>
          <cell r="M42">
            <v>12</v>
          </cell>
          <cell r="N42">
            <v>12</v>
          </cell>
          <cell r="O42">
            <v>12</v>
          </cell>
          <cell r="P42">
            <v>12</v>
          </cell>
          <cell r="Q42">
            <v>12</v>
          </cell>
          <cell r="R42">
            <v>12</v>
          </cell>
          <cell r="S42">
            <v>12</v>
          </cell>
          <cell r="T42">
            <v>12</v>
          </cell>
          <cell r="AK42">
            <v>29</v>
          </cell>
          <cell r="AL42" t="str">
            <v>FRANCISCO BEZERRA MAIA</v>
          </cell>
        </row>
        <row r="43">
          <cell r="A43" t="str">
            <v>BYE-0625</v>
          </cell>
          <cell r="B43">
            <v>12</v>
          </cell>
          <cell r="C43">
            <v>12</v>
          </cell>
          <cell r="D43">
            <v>12</v>
          </cell>
          <cell r="E43">
            <v>12</v>
          </cell>
          <cell r="F43">
            <v>12</v>
          </cell>
          <cell r="G43">
            <v>12</v>
          </cell>
          <cell r="H43">
            <v>12</v>
          </cell>
          <cell r="I43">
            <v>12</v>
          </cell>
          <cell r="J43">
            <v>12</v>
          </cell>
          <cell r="K43">
            <v>12</v>
          </cell>
          <cell r="L43">
            <v>12</v>
          </cell>
          <cell r="M43">
            <v>12</v>
          </cell>
          <cell r="N43">
            <v>12</v>
          </cell>
          <cell r="O43">
            <v>12</v>
          </cell>
          <cell r="P43">
            <v>12</v>
          </cell>
          <cell r="Q43">
            <v>12</v>
          </cell>
          <cell r="R43">
            <v>12</v>
          </cell>
          <cell r="S43">
            <v>12</v>
          </cell>
          <cell r="T43">
            <v>12</v>
          </cell>
          <cell r="AK43">
            <v>31</v>
          </cell>
          <cell r="AL43" t="str">
            <v>FRANCISCO GOMES DA SILVA</v>
          </cell>
        </row>
        <row r="44">
          <cell r="A44" t="str">
            <v>EO-5723</v>
          </cell>
          <cell r="B44">
            <v>13.2</v>
          </cell>
          <cell r="C44">
            <v>13.2</v>
          </cell>
          <cell r="D44">
            <v>13.2</v>
          </cell>
          <cell r="E44">
            <v>13.2</v>
          </cell>
          <cell r="F44">
            <v>13.2</v>
          </cell>
          <cell r="G44">
            <v>13.2</v>
          </cell>
          <cell r="H44">
            <v>13.2</v>
          </cell>
          <cell r="I44">
            <v>13.2</v>
          </cell>
          <cell r="J44">
            <v>13.2</v>
          </cell>
          <cell r="K44">
            <v>13.2</v>
          </cell>
          <cell r="L44">
            <v>13.2</v>
          </cell>
          <cell r="M44">
            <v>13.2</v>
          </cell>
          <cell r="N44">
            <v>13.2</v>
          </cell>
          <cell r="O44">
            <v>13.2</v>
          </cell>
          <cell r="P44">
            <v>13.2</v>
          </cell>
          <cell r="Q44">
            <v>13.2</v>
          </cell>
          <cell r="R44">
            <v>13.2</v>
          </cell>
          <cell r="S44">
            <v>13.2</v>
          </cell>
          <cell r="T44">
            <v>13.2</v>
          </cell>
          <cell r="AK44">
            <v>29</v>
          </cell>
          <cell r="AL44" t="str">
            <v>FRANCISCO BEZERRA MAIA</v>
          </cell>
        </row>
        <row r="45">
          <cell r="A45" t="str">
            <v>HVS-3252</v>
          </cell>
          <cell r="B45">
            <v>12.5</v>
          </cell>
          <cell r="C45">
            <v>12.5</v>
          </cell>
          <cell r="D45">
            <v>12.5</v>
          </cell>
          <cell r="E45">
            <v>12.5</v>
          </cell>
          <cell r="F45">
            <v>12.5</v>
          </cell>
          <cell r="G45">
            <v>12.5</v>
          </cell>
          <cell r="H45">
            <v>12.5</v>
          </cell>
          <cell r="I45">
            <v>12.5</v>
          </cell>
          <cell r="J45">
            <v>12.5</v>
          </cell>
          <cell r="K45">
            <v>12.5</v>
          </cell>
          <cell r="L45">
            <v>12.5</v>
          </cell>
          <cell r="M45">
            <v>12.5</v>
          </cell>
          <cell r="N45">
            <v>12.5</v>
          </cell>
          <cell r="O45">
            <v>12.5</v>
          </cell>
          <cell r="P45">
            <v>12.5</v>
          </cell>
          <cell r="Q45">
            <v>12.5</v>
          </cell>
          <cell r="R45">
            <v>12.5</v>
          </cell>
          <cell r="S45">
            <v>12.5</v>
          </cell>
          <cell r="T45">
            <v>12.5</v>
          </cell>
          <cell r="AK45">
            <v>32</v>
          </cell>
          <cell r="AL45" t="str">
            <v>FRANCISCO O DO NASCIMENTO BARROSO</v>
          </cell>
        </row>
        <row r="46">
          <cell r="A46" t="str">
            <v>HWL-1560</v>
          </cell>
          <cell r="B46">
            <v>14.5</v>
          </cell>
          <cell r="C46">
            <v>14.5</v>
          </cell>
          <cell r="D46">
            <v>14.5</v>
          </cell>
          <cell r="E46">
            <v>14.5</v>
          </cell>
          <cell r="F46">
            <v>14.5</v>
          </cell>
          <cell r="G46">
            <v>14.5</v>
          </cell>
          <cell r="H46">
            <v>14.5</v>
          </cell>
          <cell r="I46">
            <v>14.5</v>
          </cell>
          <cell r="J46">
            <v>14.5</v>
          </cell>
          <cell r="K46">
            <v>14.5</v>
          </cell>
          <cell r="L46">
            <v>14.5</v>
          </cell>
          <cell r="M46">
            <v>14.5</v>
          </cell>
          <cell r="N46">
            <v>14.5</v>
          </cell>
          <cell r="O46">
            <v>14.5</v>
          </cell>
          <cell r="P46">
            <v>14.5</v>
          </cell>
          <cell r="Q46">
            <v>14.5</v>
          </cell>
          <cell r="R46">
            <v>14.5</v>
          </cell>
          <cell r="S46">
            <v>14.5</v>
          </cell>
          <cell r="T46">
            <v>14.5</v>
          </cell>
          <cell r="AK46">
            <v>33</v>
          </cell>
          <cell r="AL46" t="str">
            <v>JOSÉ LUCIVANIO DA COSTA</v>
          </cell>
        </row>
        <row r="47">
          <cell r="A47" t="str">
            <v>HUS-0117</v>
          </cell>
          <cell r="B47">
            <v>12</v>
          </cell>
          <cell r="C47">
            <v>12</v>
          </cell>
          <cell r="D47">
            <v>12</v>
          </cell>
          <cell r="E47">
            <v>12</v>
          </cell>
          <cell r="F47">
            <v>12</v>
          </cell>
          <cell r="G47">
            <v>12</v>
          </cell>
          <cell r="H47">
            <v>12</v>
          </cell>
          <cell r="I47">
            <v>12</v>
          </cell>
          <cell r="J47">
            <v>12</v>
          </cell>
          <cell r="K47">
            <v>12</v>
          </cell>
          <cell r="L47">
            <v>12</v>
          </cell>
          <cell r="M47">
            <v>12</v>
          </cell>
          <cell r="N47">
            <v>12</v>
          </cell>
          <cell r="O47">
            <v>12</v>
          </cell>
          <cell r="P47">
            <v>12</v>
          </cell>
          <cell r="Q47">
            <v>12</v>
          </cell>
          <cell r="R47">
            <v>12</v>
          </cell>
          <cell r="S47">
            <v>12</v>
          </cell>
          <cell r="T47">
            <v>12</v>
          </cell>
          <cell r="AK47">
            <v>35</v>
          </cell>
          <cell r="AL47" t="str">
            <v>PEDRO VIEIRA DA SILVA</v>
          </cell>
        </row>
        <row r="48">
          <cell r="A48" t="str">
            <v>CEP-9713</v>
          </cell>
          <cell r="B48">
            <v>12</v>
          </cell>
          <cell r="C48">
            <v>12</v>
          </cell>
          <cell r="D48">
            <v>12</v>
          </cell>
          <cell r="E48">
            <v>12</v>
          </cell>
          <cell r="F48">
            <v>12</v>
          </cell>
          <cell r="G48">
            <v>12</v>
          </cell>
          <cell r="H48">
            <v>12</v>
          </cell>
          <cell r="I48">
            <v>12</v>
          </cell>
          <cell r="J48">
            <v>12</v>
          </cell>
          <cell r="K48">
            <v>12</v>
          </cell>
          <cell r="L48">
            <v>12</v>
          </cell>
          <cell r="M48">
            <v>12</v>
          </cell>
          <cell r="N48">
            <v>12</v>
          </cell>
          <cell r="O48">
            <v>12</v>
          </cell>
          <cell r="P48">
            <v>12</v>
          </cell>
          <cell r="Q48">
            <v>12</v>
          </cell>
          <cell r="R48">
            <v>12</v>
          </cell>
          <cell r="S48">
            <v>12</v>
          </cell>
          <cell r="T48">
            <v>12</v>
          </cell>
          <cell r="AK48">
            <v>36</v>
          </cell>
          <cell r="AL48" t="str">
            <v>FRANCISCO IVANILCE DE SOUZA LIMA</v>
          </cell>
        </row>
        <row r="49">
          <cell r="A49" t="str">
            <v>HVN-1458</v>
          </cell>
          <cell r="B49">
            <v>13</v>
          </cell>
          <cell r="C49">
            <v>13</v>
          </cell>
          <cell r="D49">
            <v>13</v>
          </cell>
          <cell r="E49">
            <v>13</v>
          </cell>
          <cell r="F49">
            <v>13</v>
          </cell>
          <cell r="G49">
            <v>13</v>
          </cell>
          <cell r="H49">
            <v>13</v>
          </cell>
          <cell r="I49">
            <v>13</v>
          </cell>
          <cell r="J49">
            <v>13</v>
          </cell>
          <cell r="K49">
            <v>13</v>
          </cell>
          <cell r="L49">
            <v>13</v>
          </cell>
          <cell r="M49">
            <v>13</v>
          </cell>
          <cell r="N49">
            <v>13</v>
          </cell>
          <cell r="O49">
            <v>13</v>
          </cell>
          <cell r="P49">
            <v>13</v>
          </cell>
          <cell r="Q49">
            <v>13</v>
          </cell>
          <cell r="R49">
            <v>13</v>
          </cell>
          <cell r="S49">
            <v>13</v>
          </cell>
          <cell r="T49">
            <v>13</v>
          </cell>
          <cell r="AK49">
            <v>84</v>
          </cell>
          <cell r="AL49" t="str">
            <v>MARIA LILIANE LIMA DIOGENES</v>
          </cell>
        </row>
        <row r="50">
          <cell r="A50" t="str">
            <v>MMV-5979</v>
          </cell>
          <cell r="B50">
            <v>12</v>
          </cell>
          <cell r="C50">
            <v>12</v>
          </cell>
          <cell r="D50">
            <v>12</v>
          </cell>
          <cell r="E50">
            <v>12</v>
          </cell>
          <cell r="F50">
            <v>12</v>
          </cell>
          <cell r="G50">
            <v>12</v>
          </cell>
          <cell r="H50">
            <v>12</v>
          </cell>
          <cell r="I50">
            <v>12</v>
          </cell>
          <cell r="J50">
            <v>12</v>
          </cell>
          <cell r="K50">
            <v>12</v>
          </cell>
          <cell r="L50">
            <v>12</v>
          </cell>
          <cell r="M50">
            <v>12</v>
          </cell>
          <cell r="N50">
            <v>12</v>
          </cell>
          <cell r="O50">
            <v>12</v>
          </cell>
          <cell r="P50">
            <v>12</v>
          </cell>
          <cell r="Q50">
            <v>12</v>
          </cell>
          <cell r="R50">
            <v>12</v>
          </cell>
          <cell r="S50">
            <v>12</v>
          </cell>
          <cell r="T50">
            <v>12</v>
          </cell>
          <cell r="AK50">
            <v>37</v>
          </cell>
          <cell r="AL50" t="str">
            <v>ADELMO MESSIAS MELO BARRO</v>
          </cell>
        </row>
        <row r="51">
          <cell r="A51" t="str">
            <v>LT-1700</v>
          </cell>
          <cell r="B51">
            <v>11</v>
          </cell>
          <cell r="C51">
            <v>11</v>
          </cell>
          <cell r="D51">
            <v>11</v>
          </cell>
          <cell r="E51">
            <v>11</v>
          </cell>
          <cell r="F51">
            <v>11</v>
          </cell>
          <cell r="G51">
            <v>11</v>
          </cell>
          <cell r="H51">
            <v>11</v>
          </cell>
          <cell r="I51">
            <v>11</v>
          </cell>
          <cell r="J51">
            <v>11</v>
          </cell>
          <cell r="K51">
            <v>11</v>
          </cell>
          <cell r="L51">
            <v>11</v>
          </cell>
          <cell r="M51">
            <v>11</v>
          </cell>
          <cell r="N51">
            <v>11</v>
          </cell>
          <cell r="O51">
            <v>11</v>
          </cell>
          <cell r="P51">
            <v>11</v>
          </cell>
          <cell r="Q51">
            <v>11</v>
          </cell>
          <cell r="R51">
            <v>11</v>
          </cell>
          <cell r="S51">
            <v>11</v>
          </cell>
          <cell r="T51">
            <v>11</v>
          </cell>
          <cell r="AK51">
            <v>37</v>
          </cell>
          <cell r="AL51" t="str">
            <v>ADELMO MESSIAS MELO BARRO</v>
          </cell>
        </row>
        <row r="52">
          <cell r="A52" t="str">
            <v>MNB-0746</v>
          </cell>
          <cell r="B52">
            <v>12</v>
          </cell>
          <cell r="C52">
            <v>12</v>
          </cell>
          <cell r="D52">
            <v>12</v>
          </cell>
          <cell r="E52">
            <v>12</v>
          </cell>
          <cell r="F52">
            <v>12</v>
          </cell>
          <cell r="G52">
            <v>12</v>
          </cell>
          <cell r="H52">
            <v>12</v>
          </cell>
          <cell r="I52">
            <v>12</v>
          </cell>
          <cell r="J52">
            <v>12</v>
          </cell>
          <cell r="K52">
            <v>12</v>
          </cell>
          <cell r="L52">
            <v>12</v>
          </cell>
          <cell r="M52">
            <v>12</v>
          </cell>
          <cell r="N52">
            <v>12</v>
          </cell>
          <cell r="O52">
            <v>12</v>
          </cell>
          <cell r="P52">
            <v>12</v>
          </cell>
          <cell r="Q52">
            <v>12</v>
          </cell>
          <cell r="R52">
            <v>12</v>
          </cell>
          <cell r="S52">
            <v>12</v>
          </cell>
          <cell r="T52">
            <v>12</v>
          </cell>
          <cell r="AK52">
            <v>38</v>
          </cell>
          <cell r="AL52" t="str">
            <v>LUCIANA MARIA DA SILVA</v>
          </cell>
        </row>
        <row r="53">
          <cell r="A53" t="str">
            <v>HUC-7862</v>
          </cell>
          <cell r="B53">
            <v>12</v>
          </cell>
          <cell r="C53">
            <v>12</v>
          </cell>
          <cell r="D53">
            <v>12</v>
          </cell>
          <cell r="E53">
            <v>12</v>
          </cell>
          <cell r="F53">
            <v>12</v>
          </cell>
          <cell r="G53">
            <v>12</v>
          </cell>
          <cell r="H53">
            <v>12</v>
          </cell>
          <cell r="I53">
            <v>12</v>
          </cell>
          <cell r="J53">
            <v>12</v>
          </cell>
          <cell r="K53">
            <v>12</v>
          </cell>
          <cell r="L53">
            <v>12</v>
          </cell>
          <cell r="M53">
            <v>12</v>
          </cell>
          <cell r="N53">
            <v>12</v>
          </cell>
          <cell r="O53">
            <v>12</v>
          </cell>
          <cell r="P53">
            <v>12</v>
          </cell>
          <cell r="Q53">
            <v>12</v>
          </cell>
          <cell r="R53">
            <v>12</v>
          </cell>
          <cell r="S53">
            <v>12</v>
          </cell>
          <cell r="T53">
            <v>12</v>
          </cell>
          <cell r="AK53">
            <v>39</v>
          </cell>
          <cell r="AL53" t="str">
            <v>JOSÉ ALVES JUNIOR</v>
          </cell>
        </row>
        <row r="54">
          <cell r="A54" t="str">
            <v>HVF-8339</v>
          </cell>
          <cell r="B54">
            <v>12</v>
          </cell>
          <cell r="C54">
            <v>12</v>
          </cell>
          <cell r="D54">
            <v>12</v>
          </cell>
          <cell r="E54">
            <v>12</v>
          </cell>
          <cell r="F54">
            <v>12</v>
          </cell>
          <cell r="G54">
            <v>12</v>
          </cell>
          <cell r="H54">
            <v>12</v>
          </cell>
          <cell r="I54">
            <v>12</v>
          </cell>
          <cell r="J54">
            <v>12</v>
          </cell>
          <cell r="K54">
            <v>12</v>
          </cell>
          <cell r="L54">
            <v>12</v>
          </cell>
          <cell r="M54">
            <v>12</v>
          </cell>
          <cell r="N54">
            <v>12</v>
          </cell>
          <cell r="O54">
            <v>12</v>
          </cell>
          <cell r="P54">
            <v>12</v>
          </cell>
          <cell r="Q54">
            <v>12</v>
          </cell>
          <cell r="R54">
            <v>12</v>
          </cell>
          <cell r="S54">
            <v>12</v>
          </cell>
          <cell r="T54">
            <v>12</v>
          </cell>
          <cell r="AK54">
            <v>40</v>
          </cell>
          <cell r="AL54" t="str">
            <v>JOSÉ IVAN DE OLIVEIRA ALVES</v>
          </cell>
        </row>
        <row r="55">
          <cell r="A55" t="str">
            <v>HUK-4839</v>
          </cell>
          <cell r="B55">
            <v>12.5</v>
          </cell>
          <cell r="C55">
            <v>12.5</v>
          </cell>
          <cell r="D55">
            <v>12.5</v>
          </cell>
          <cell r="E55">
            <v>12.5</v>
          </cell>
          <cell r="F55">
            <v>12.5</v>
          </cell>
          <cell r="G55">
            <v>12.5</v>
          </cell>
          <cell r="H55">
            <v>12.5</v>
          </cell>
          <cell r="I55">
            <v>12.5</v>
          </cell>
          <cell r="J55">
            <v>12.5</v>
          </cell>
          <cell r="K55">
            <v>12.5</v>
          </cell>
          <cell r="L55">
            <v>12.5</v>
          </cell>
          <cell r="M55">
            <v>12.5</v>
          </cell>
          <cell r="N55">
            <v>12.5</v>
          </cell>
          <cell r="O55">
            <v>12.5</v>
          </cell>
          <cell r="P55">
            <v>12.5</v>
          </cell>
          <cell r="Q55">
            <v>12.5</v>
          </cell>
          <cell r="R55">
            <v>12.5</v>
          </cell>
          <cell r="S55">
            <v>12.5</v>
          </cell>
          <cell r="T55">
            <v>12.5</v>
          </cell>
          <cell r="AK55">
            <v>41</v>
          </cell>
          <cell r="AL55" t="str">
            <v>MARIA LUCIA OLIVEIRA ALMEIDA LIMA</v>
          </cell>
        </row>
        <row r="56">
          <cell r="A56" t="str">
            <v>HUJ-6146</v>
          </cell>
          <cell r="B56">
            <v>13.5</v>
          </cell>
          <cell r="C56">
            <v>13.5</v>
          </cell>
          <cell r="D56">
            <v>13.5</v>
          </cell>
          <cell r="E56">
            <v>13.5</v>
          </cell>
          <cell r="F56">
            <v>13.5</v>
          </cell>
          <cell r="G56">
            <v>13.5</v>
          </cell>
          <cell r="H56">
            <v>13.5</v>
          </cell>
          <cell r="I56">
            <v>13.5</v>
          </cell>
          <cell r="J56">
            <v>13.5</v>
          </cell>
          <cell r="K56">
            <v>13.5</v>
          </cell>
          <cell r="L56">
            <v>13.5</v>
          </cell>
          <cell r="M56">
            <v>13.5</v>
          </cell>
          <cell r="N56">
            <v>13.5</v>
          </cell>
          <cell r="O56">
            <v>13.5</v>
          </cell>
          <cell r="P56">
            <v>13.5</v>
          </cell>
          <cell r="Q56">
            <v>13.5</v>
          </cell>
          <cell r="R56">
            <v>13.5</v>
          </cell>
          <cell r="S56">
            <v>13.5</v>
          </cell>
          <cell r="T56">
            <v>13.5</v>
          </cell>
          <cell r="AK56">
            <v>54</v>
          </cell>
          <cell r="AL56" t="str">
            <v>IVAN CARLOS PESENTE</v>
          </cell>
        </row>
        <row r="57">
          <cell r="A57" t="str">
            <v>JTC-6477</v>
          </cell>
          <cell r="B57">
            <v>11</v>
          </cell>
          <cell r="C57">
            <v>11</v>
          </cell>
          <cell r="D57">
            <v>11</v>
          </cell>
          <cell r="E57">
            <v>11</v>
          </cell>
          <cell r="F57">
            <v>11</v>
          </cell>
          <cell r="G57">
            <v>11</v>
          </cell>
          <cell r="H57">
            <v>11</v>
          </cell>
          <cell r="I57">
            <v>11</v>
          </cell>
          <cell r="J57">
            <v>11</v>
          </cell>
          <cell r="K57">
            <v>11</v>
          </cell>
          <cell r="L57">
            <v>11</v>
          </cell>
          <cell r="M57">
            <v>11</v>
          </cell>
          <cell r="N57">
            <v>11</v>
          </cell>
          <cell r="O57">
            <v>11</v>
          </cell>
          <cell r="P57">
            <v>11</v>
          </cell>
          <cell r="Q57">
            <v>11</v>
          </cell>
          <cell r="R57">
            <v>11</v>
          </cell>
          <cell r="S57">
            <v>11</v>
          </cell>
          <cell r="T57">
            <v>11</v>
          </cell>
          <cell r="AK57">
            <v>42</v>
          </cell>
          <cell r="AL57" t="str">
            <v>JOSÉ FERNANDO DOS SANTOS</v>
          </cell>
        </row>
        <row r="58">
          <cell r="A58" t="str">
            <v>HVB-8355</v>
          </cell>
          <cell r="B58">
            <v>12</v>
          </cell>
          <cell r="C58">
            <v>12</v>
          </cell>
          <cell r="D58">
            <v>12</v>
          </cell>
          <cell r="E58">
            <v>12</v>
          </cell>
          <cell r="F58">
            <v>12</v>
          </cell>
          <cell r="G58">
            <v>12</v>
          </cell>
          <cell r="H58">
            <v>12</v>
          </cell>
          <cell r="I58">
            <v>12</v>
          </cell>
          <cell r="J58">
            <v>12</v>
          </cell>
          <cell r="K58">
            <v>12</v>
          </cell>
          <cell r="L58">
            <v>12</v>
          </cell>
          <cell r="M58">
            <v>12</v>
          </cell>
          <cell r="N58">
            <v>12</v>
          </cell>
          <cell r="O58">
            <v>12</v>
          </cell>
          <cell r="P58">
            <v>12</v>
          </cell>
          <cell r="Q58">
            <v>12</v>
          </cell>
          <cell r="R58">
            <v>12</v>
          </cell>
          <cell r="S58">
            <v>12</v>
          </cell>
          <cell r="T58">
            <v>12</v>
          </cell>
          <cell r="AK58">
            <v>43</v>
          </cell>
          <cell r="AL58" t="str">
            <v>NINGUEM</v>
          </cell>
        </row>
        <row r="59">
          <cell r="A59" t="str">
            <v>HUC-5491</v>
          </cell>
          <cell r="B59">
            <v>12</v>
          </cell>
          <cell r="C59">
            <v>12</v>
          </cell>
          <cell r="D59">
            <v>12</v>
          </cell>
          <cell r="E59">
            <v>12</v>
          </cell>
          <cell r="F59">
            <v>12</v>
          </cell>
          <cell r="G59">
            <v>12</v>
          </cell>
          <cell r="H59">
            <v>12</v>
          </cell>
          <cell r="I59">
            <v>12</v>
          </cell>
          <cell r="J59">
            <v>12</v>
          </cell>
          <cell r="K59">
            <v>12</v>
          </cell>
          <cell r="L59">
            <v>12</v>
          </cell>
          <cell r="M59">
            <v>12</v>
          </cell>
          <cell r="N59">
            <v>12</v>
          </cell>
          <cell r="O59">
            <v>12</v>
          </cell>
          <cell r="P59">
            <v>12</v>
          </cell>
          <cell r="Q59">
            <v>12</v>
          </cell>
          <cell r="R59">
            <v>12</v>
          </cell>
          <cell r="S59">
            <v>12</v>
          </cell>
          <cell r="T59">
            <v>12</v>
          </cell>
          <cell r="AK59">
            <v>44</v>
          </cell>
          <cell r="AL59" t="str">
            <v>QUEM</v>
          </cell>
        </row>
        <row r="60">
          <cell r="A60" t="str">
            <v>HUQ-2455</v>
          </cell>
          <cell r="B60">
            <v>12</v>
          </cell>
          <cell r="C60">
            <v>12</v>
          </cell>
          <cell r="D60">
            <v>12</v>
          </cell>
          <cell r="E60">
            <v>12</v>
          </cell>
          <cell r="F60">
            <v>12</v>
          </cell>
          <cell r="G60">
            <v>12</v>
          </cell>
          <cell r="H60">
            <v>12</v>
          </cell>
          <cell r="I60">
            <v>12</v>
          </cell>
          <cell r="J60">
            <v>12</v>
          </cell>
          <cell r="K60">
            <v>12</v>
          </cell>
          <cell r="L60">
            <v>12</v>
          </cell>
          <cell r="M60">
            <v>12</v>
          </cell>
          <cell r="N60">
            <v>12</v>
          </cell>
          <cell r="O60">
            <v>12</v>
          </cell>
          <cell r="P60">
            <v>12</v>
          </cell>
          <cell r="Q60">
            <v>12</v>
          </cell>
          <cell r="R60">
            <v>12</v>
          </cell>
          <cell r="S60">
            <v>12</v>
          </cell>
          <cell r="T60">
            <v>12</v>
          </cell>
          <cell r="AK60">
            <v>45</v>
          </cell>
          <cell r="AL60" t="str">
            <v>FRANCISCO EPIFÁNIO FREIRE</v>
          </cell>
        </row>
        <row r="61">
          <cell r="A61" t="str">
            <v>KFD-0398</v>
          </cell>
          <cell r="B61">
            <v>12</v>
          </cell>
          <cell r="C61">
            <v>12</v>
          </cell>
          <cell r="D61">
            <v>12</v>
          </cell>
          <cell r="E61">
            <v>12</v>
          </cell>
          <cell r="F61">
            <v>12</v>
          </cell>
          <cell r="G61">
            <v>12</v>
          </cell>
          <cell r="H61">
            <v>12</v>
          </cell>
          <cell r="I61">
            <v>12</v>
          </cell>
          <cell r="J61">
            <v>12</v>
          </cell>
          <cell r="K61">
            <v>12</v>
          </cell>
          <cell r="L61">
            <v>12</v>
          </cell>
          <cell r="M61">
            <v>12</v>
          </cell>
          <cell r="N61">
            <v>12</v>
          </cell>
          <cell r="O61">
            <v>12</v>
          </cell>
          <cell r="P61">
            <v>12</v>
          </cell>
          <cell r="Q61">
            <v>12</v>
          </cell>
          <cell r="R61">
            <v>12</v>
          </cell>
          <cell r="S61">
            <v>12</v>
          </cell>
          <cell r="T61">
            <v>12</v>
          </cell>
          <cell r="AK61">
            <v>46</v>
          </cell>
          <cell r="AL61" t="str">
            <v>PAULO SERGIO DOS SANTOS</v>
          </cell>
        </row>
        <row r="62">
          <cell r="A62" t="str">
            <v>HVI-5408</v>
          </cell>
          <cell r="B62">
            <v>12</v>
          </cell>
          <cell r="C62">
            <v>12</v>
          </cell>
          <cell r="D62">
            <v>12</v>
          </cell>
          <cell r="E62">
            <v>12</v>
          </cell>
          <cell r="F62">
            <v>12</v>
          </cell>
          <cell r="G62">
            <v>12</v>
          </cell>
          <cell r="H62">
            <v>12</v>
          </cell>
          <cell r="I62">
            <v>12</v>
          </cell>
          <cell r="J62">
            <v>12</v>
          </cell>
          <cell r="K62">
            <v>12</v>
          </cell>
          <cell r="L62">
            <v>12</v>
          </cell>
          <cell r="M62">
            <v>12</v>
          </cell>
          <cell r="N62">
            <v>12</v>
          </cell>
          <cell r="O62">
            <v>12</v>
          </cell>
          <cell r="P62">
            <v>12</v>
          </cell>
          <cell r="Q62">
            <v>12</v>
          </cell>
          <cell r="R62">
            <v>12</v>
          </cell>
          <cell r="S62">
            <v>12</v>
          </cell>
          <cell r="T62">
            <v>12</v>
          </cell>
          <cell r="AK62">
            <v>47</v>
          </cell>
          <cell r="AL62" t="str">
            <v>ANTONIO CARLOS DO NASCIMENTO</v>
          </cell>
        </row>
        <row r="63">
          <cell r="A63" t="str">
            <v>HVJ-2856</v>
          </cell>
          <cell r="B63">
            <v>12.5</v>
          </cell>
          <cell r="C63">
            <v>12.5</v>
          </cell>
          <cell r="D63">
            <v>12.5</v>
          </cell>
          <cell r="E63">
            <v>12.5</v>
          </cell>
          <cell r="F63">
            <v>12.5</v>
          </cell>
          <cell r="G63">
            <v>12.5</v>
          </cell>
          <cell r="H63">
            <v>12.5</v>
          </cell>
          <cell r="I63">
            <v>12.5</v>
          </cell>
          <cell r="J63">
            <v>12.5</v>
          </cell>
          <cell r="K63">
            <v>12.5</v>
          </cell>
          <cell r="L63">
            <v>12.5</v>
          </cell>
          <cell r="M63">
            <v>12.5</v>
          </cell>
          <cell r="N63">
            <v>12.5</v>
          </cell>
          <cell r="O63">
            <v>12.5</v>
          </cell>
          <cell r="P63">
            <v>12.5</v>
          </cell>
          <cell r="Q63">
            <v>12.5</v>
          </cell>
          <cell r="R63">
            <v>12.5</v>
          </cell>
          <cell r="S63">
            <v>12.5</v>
          </cell>
          <cell r="T63">
            <v>12.5</v>
          </cell>
          <cell r="AK63">
            <v>48</v>
          </cell>
          <cell r="AL63" t="str">
            <v>ANTONIO MAURICIO SILVA</v>
          </cell>
        </row>
        <row r="64">
          <cell r="A64" t="str">
            <v>HVI-5738</v>
          </cell>
          <cell r="B64">
            <v>12.5</v>
          </cell>
          <cell r="C64">
            <v>12.5</v>
          </cell>
          <cell r="D64">
            <v>12.5</v>
          </cell>
          <cell r="E64">
            <v>12.5</v>
          </cell>
          <cell r="F64">
            <v>12.5</v>
          </cell>
          <cell r="G64">
            <v>12.5</v>
          </cell>
          <cell r="H64">
            <v>12.5</v>
          </cell>
          <cell r="I64">
            <v>12.5</v>
          </cell>
          <cell r="J64">
            <v>12.5</v>
          </cell>
          <cell r="K64">
            <v>12.5</v>
          </cell>
          <cell r="L64">
            <v>12.5</v>
          </cell>
          <cell r="M64">
            <v>12.5</v>
          </cell>
          <cell r="N64">
            <v>12.5</v>
          </cell>
          <cell r="O64">
            <v>12.5</v>
          </cell>
          <cell r="P64">
            <v>12.5</v>
          </cell>
          <cell r="Q64">
            <v>12.5</v>
          </cell>
          <cell r="R64">
            <v>12.5</v>
          </cell>
          <cell r="S64">
            <v>12.5</v>
          </cell>
          <cell r="T64">
            <v>12.5</v>
          </cell>
          <cell r="AK64">
            <v>50</v>
          </cell>
          <cell r="AL64" t="str">
            <v>FRANCISCO IVANILDO DE SOUZA LIMA</v>
          </cell>
        </row>
        <row r="65">
          <cell r="A65" t="str">
            <v>KFR-7694</v>
          </cell>
          <cell r="B65">
            <v>12</v>
          </cell>
          <cell r="C65">
            <v>12</v>
          </cell>
          <cell r="D65">
            <v>12</v>
          </cell>
          <cell r="E65">
            <v>12</v>
          </cell>
          <cell r="F65">
            <v>12</v>
          </cell>
          <cell r="G65">
            <v>12</v>
          </cell>
          <cell r="H65">
            <v>12</v>
          </cell>
          <cell r="I65">
            <v>12</v>
          </cell>
          <cell r="J65">
            <v>12</v>
          </cell>
          <cell r="K65">
            <v>12</v>
          </cell>
          <cell r="L65">
            <v>12</v>
          </cell>
          <cell r="M65">
            <v>12</v>
          </cell>
          <cell r="N65">
            <v>12</v>
          </cell>
          <cell r="O65">
            <v>12</v>
          </cell>
          <cell r="P65">
            <v>12</v>
          </cell>
          <cell r="Q65">
            <v>12</v>
          </cell>
          <cell r="R65">
            <v>12</v>
          </cell>
          <cell r="S65">
            <v>12</v>
          </cell>
          <cell r="T65">
            <v>12</v>
          </cell>
          <cell r="AK65">
            <v>27</v>
          </cell>
          <cell r="AL65" t="str">
            <v>JOSÉ MAURICIO FERREIRA DOS SANTOS</v>
          </cell>
        </row>
        <row r="66">
          <cell r="A66" t="str">
            <v>HVD-8940</v>
          </cell>
          <cell r="B66">
            <v>12</v>
          </cell>
          <cell r="C66">
            <v>12</v>
          </cell>
          <cell r="D66">
            <v>12</v>
          </cell>
          <cell r="E66">
            <v>12</v>
          </cell>
          <cell r="F66">
            <v>12</v>
          </cell>
          <cell r="G66">
            <v>12</v>
          </cell>
          <cell r="H66">
            <v>12</v>
          </cell>
          <cell r="I66">
            <v>12</v>
          </cell>
          <cell r="J66">
            <v>12</v>
          </cell>
          <cell r="K66">
            <v>12</v>
          </cell>
          <cell r="L66">
            <v>12</v>
          </cell>
          <cell r="M66">
            <v>12</v>
          </cell>
          <cell r="N66">
            <v>12</v>
          </cell>
          <cell r="O66">
            <v>12</v>
          </cell>
          <cell r="P66">
            <v>12</v>
          </cell>
          <cell r="Q66">
            <v>12</v>
          </cell>
          <cell r="R66">
            <v>12</v>
          </cell>
          <cell r="S66">
            <v>12</v>
          </cell>
          <cell r="T66">
            <v>12</v>
          </cell>
          <cell r="AK66">
            <v>51</v>
          </cell>
          <cell r="AL66" t="str">
            <v>JOSÉ JOSIVAL BARROS CAVALCANTE</v>
          </cell>
        </row>
        <row r="67">
          <cell r="A67" t="str">
            <v>HVI-3158</v>
          </cell>
          <cell r="B67">
            <v>12</v>
          </cell>
          <cell r="C67">
            <v>12</v>
          </cell>
          <cell r="D67">
            <v>12</v>
          </cell>
          <cell r="E67">
            <v>12</v>
          </cell>
          <cell r="F67">
            <v>12</v>
          </cell>
          <cell r="G67">
            <v>12</v>
          </cell>
          <cell r="H67">
            <v>12</v>
          </cell>
          <cell r="I67">
            <v>12</v>
          </cell>
          <cell r="J67">
            <v>12</v>
          </cell>
          <cell r="K67">
            <v>12</v>
          </cell>
          <cell r="L67">
            <v>12</v>
          </cell>
          <cell r="M67">
            <v>12</v>
          </cell>
          <cell r="N67">
            <v>12</v>
          </cell>
          <cell r="O67">
            <v>12</v>
          </cell>
          <cell r="P67">
            <v>12</v>
          </cell>
          <cell r="Q67">
            <v>12</v>
          </cell>
          <cell r="R67">
            <v>12</v>
          </cell>
          <cell r="S67">
            <v>12</v>
          </cell>
          <cell r="T67">
            <v>12</v>
          </cell>
          <cell r="AK67">
            <v>52</v>
          </cell>
          <cell r="AL67" t="str">
            <v>AUGUSTO CESAR CHAVES LEITÃO</v>
          </cell>
        </row>
        <row r="68">
          <cell r="A68" t="str">
            <v>HUG-7951</v>
          </cell>
          <cell r="B68">
            <v>13</v>
          </cell>
          <cell r="C68">
            <v>13</v>
          </cell>
          <cell r="D68">
            <v>13</v>
          </cell>
          <cell r="E68">
            <v>13</v>
          </cell>
          <cell r="F68">
            <v>13</v>
          </cell>
          <cell r="G68">
            <v>13</v>
          </cell>
          <cell r="H68">
            <v>13</v>
          </cell>
          <cell r="I68">
            <v>13</v>
          </cell>
          <cell r="J68">
            <v>13</v>
          </cell>
          <cell r="K68">
            <v>13</v>
          </cell>
          <cell r="L68">
            <v>13</v>
          </cell>
          <cell r="M68">
            <v>13</v>
          </cell>
          <cell r="N68">
            <v>13</v>
          </cell>
          <cell r="O68">
            <v>13</v>
          </cell>
          <cell r="P68">
            <v>13</v>
          </cell>
          <cell r="Q68">
            <v>13</v>
          </cell>
          <cell r="R68">
            <v>13</v>
          </cell>
          <cell r="S68">
            <v>13</v>
          </cell>
          <cell r="T68">
            <v>13</v>
          </cell>
          <cell r="AK68">
            <v>53</v>
          </cell>
          <cell r="AL68" t="str">
            <v>CONSTRUTORA IBIAPABA LTDA</v>
          </cell>
        </row>
        <row r="69">
          <cell r="A69" t="str">
            <v>HUO-8763</v>
          </cell>
          <cell r="B69">
            <v>12</v>
          </cell>
          <cell r="C69">
            <v>12</v>
          </cell>
          <cell r="D69">
            <v>12</v>
          </cell>
          <cell r="E69">
            <v>12</v>
          </cell>
          <cell r="F69">
            <v>12</v>
          </cell>
          <cell r="G69">
            <v>12</v>
          </cell>
          <cell r="H69">
            <v>12</v>
          </cell>
          <cell r="I69">
            <v>12</v>
          </cell>
          <cell r="J69">
            <v>12</v>
          </cell>
          <cell r="K69">
            <v>12</v>
          </cell>
          <cell r="L69">
            <v>12</v>
          </cell>
          <cell r="M69">
            <v>12</v>
          </cell>
          <cell r="N69">
            <v>12</v>
          </cell>
          <cell r="O69">
            <v>12</v>
          </cell>
          <cell r="P69">
            <v>12</v>
          </cell>
          <cell r="Q69">
            <v>12</v>
          </cell>
          <cell r="R69">
            <v>12</v>
          </cell>
          <cell r="S69">
            <v>12</v>
          </cell>
          <cell r="T69">
            <v>12</v>
          </cell>
          <cell r="AK69">
            <v>56</v>
          </cell>
          <cell r="AL69" t="str">
            <v>JOSÉ CLAUDENIR RICARDO DE QUEIROZ</v>
          </cell>
        </row>
        <row r="70">
          <cell r="A70" t="str">
            <v>AB-8798</v>
          </cell>
          <cell r="B70">
            <v>12</v>
          </cell>
          <cell r="C70">
            <v>12</v>
          </cell>
          <cell r="D70">
            <v>12</v>
          </cell>
          <cell r="E70">
            <v>12</v>
          </cell>
          <cell r="F70">
            <v>12</v>
          </cell>
          <cell r="G70">
            <v>12</v>
          </cell>
          <cell r="H70">
            <v>12</v>
          </cell>
          <cell r="I70">
            <v>12</v>
          </cell>
          <cell r="J70">
            <v>12</v>
          </cell>
          <cell r="K70">
            <v>12</v>
          </cell>
          <cell r="L70">
            <v>12</v>
          </cell>
          <cell r="M70">
            <v>12</v>
          </cell>
          <cell r="N70">
            <v>12</v>
          </cell>
          <cell r="O70">
            <v>12</v>
          </cell>
          <cell r="P70">
            <v>12</v>
          </cell>
          <cell r="Q70">
            <v>12</v>
          </cell>
          <cell r="R70">
            <v>12</v>
          </cell>
          <cell r="S70">
            <v>12</v>
          </cell>
          <cell r="T70">
            <v>12</v>
          </cell>
          <cell r="AK70">
            <v>57</v>
          </cell>
          <cell r="AL70" t="str">
            <v>JOILSON CARLOS ALVES BEZERRA</v>
          </cell>
        </row>
        <row r="71">
          <cell r="A71" t="str">
            <v>HUJ-7253</v>
          </cell>
          <cell r="B71">
            <v>12.5</v>
          </cell>
          <cell r="C71">
            <v>12.5</v>
          </cell>
          <cell r="D71">
            <v>12.5</v>
          </cell>
          <cell r="E71">
            <v>12.5</v>
          </cell>
          <cell r="F71">
            <v>12.5</v>
          </cell>
          <cell r="G71">
            <v>12.5</v>
          </cell>
          <cell r="H71">
            <v>12.5</v>
          </cell>
          <cell r="I71">
            <v>12.5</v>
          </cell>
          <cell r="J71">
            <v>12.5</v>
          </cell>
          <cell r="K71">
            <v>12.5</v>
          </cell>
          <cell r="L71">
            <v>12.5</v>
          </cell>
          <cell r="M71">
            <v>12.5</v>
          </cell>
          <cell r="N71">
            <v>12.5</v>
          </cell>
          <cell r="O71">
            <v>12.5</v>
          </cell>
          <cell r="P71">
            <v>12.5</v>
          </cell>
          <cell r="Q71">
            <v>12.5</v>
          </cell>
          <cell r="R71">
            <v>12.5</v>
          </cell>
          <cell r="S71">
            <v>12.5</v>
          </cell>
          <cell r="T71">
            <v>12.5</v>
          </cell>
          <cell r="AK71">
            <v>58</v>
          </cell>
          <cell r="AL71" t="str">
            <v>FRANCISCO CARMENIO BATISTA</v>
          </cell>
        </row>
        <row r="72">
          <cell r="A72" t="str">
            <v>HUS-1159</v>
          </cell>
          <cell r="B72">
            <v>12</v>
          </cell>
          <cell r="C72">
            <v>12</v>
          </cell>
          <cell r="D72">
            <v>12</v>
          </cell>
          <cell r="E72">
            <v>12</v>
          </cell>
          <cell r="F72">
            <v>12</v>
          </cell>
          <cell r="G72">
            <v>12</v>
          </cell>
          <cell r="H72">
            <v>12</v>
          </cell>
          <cell r="I72">
            <v>12</v>
          </cell>
          <cell r="J72">
            <v>12</v>
          </cell>
          <cell r="K72">
            <v>12</v>
          </cell>
          <cell r="L72">
            <v>12</v>
          </cell>
          <cell r="M72">
            <v>12</v>
          </cell>
          <cell r="N72">
            <v>12</v>
          </cell>
          <cell r="O72">
            <v>12</v>
          </cell>
          <cell r="P72">
            <v>12</v>
          </cell>
          <cell r="Q72">
            <v>12</v>
          </cell>
          <cell r="R72">
            <v>12</v>
          </cell>
          <cell r="S72">
            <v>12</v>
          </cell>
          <cell r="T72">
            <v>12</v>
          </cell>
          <cell r="AK72">
            <v>59</v>
          </cell>
          <cell r="AL72" t="str">
            <v>JOSÉ VIEIRA</v>
          </cell>
        </row>
        <row r="73">
          <cell r="A73" t="str">
            <v>HUV-8530</v>
          </cell>
          <cell r="B73">
            <v>11.5</v>
          </cell>
          <cell r="C73">
            <v>11.5</v>
          </cell>
          <cell r="D73">
            <v>11.5</v>
          </cell>
          <cell r="E73">
            <v>11.5</v>
          </cell>
          <cell r="F73">
            <v>11.5</v>
          </cell>
          <cell r="G73">
            <v>11.5</v>
          </cell>
          <cell r="H73">
            <v>11.5</v>
          </cell>
          <cell r="I73">
            <v>11.5</v>
          </cell>
          <cell r="J73">
            <v>11.5</v>
          </cell>
          <cell r="K73">
            <v>11.5</v>
          </cell>
          <cell r="L73">
            <v>11.5</v>
          </cell>
          <cell r="M73">
            <v>11.5</v>
          </cell>
          <cell r="N73">
            <v>11.5</v>
          </cell>
          <cell r="O73">
            <v>11.5</v>
          </cell>
          <cell r="P73">
            <v>11.5</v>
          </cell>
          <cell r="Q73">
            <v>11.5</v>
          </cell>
          <cell r="R73">
            <v>11.5</v>
          </cell>
          <cell r="S73">
            <v>11.5</v>
          </cell>
          <cell r="T73">
            <v>11.5</v>
          </cell>
          <cell r="AK73">
            <v>60</v>
          </cell>
          <cell r="AL73" t="str">
            <v>JAIRO WILSON COSTA</v>
          </cell>
        </row>
        <row r="74">
          <cell r="A74" t="str">
            <v>CBM-0597</v>
          </cell>
          <cell r="B74">
            <v>12</v>
          </cell>
          <cell r="C74">
            <v>12</v>
          </cell>
          <cell r="D74">
            <v>12</v>
          </cell>
          <cell r="E74">
            <v>12</v>
          </cell>
          <cell r="F74">
            <v>12</v>
          </cell>
          <cell r="G74">
            <v>12</v>
          </cell>
          <cell r="H74">
            <v>12</v>
          </cell>
          <cell r="I74">
            <v>12</v>
          </cell>
          <cell r="J74">
            <v>12</v>
          </cell>
          <cell r="K74">
            <v>12</v>
          </cell>
          <cell r="L74">
            <v>12</v>
          </cell>
          <cell r="M74">
            <v>12</v>
          </cell>
          <cell r="N74">
            <v>12</v>
          </cell>
          <cell r="O74">
            <v>12</v>
          </cell>
          <cell r="P74">
            <v>12</v>
          </cell>
          <cell r="Q74">
            <v>12</v>
          </cell>
          <cell r="R74">
            <v>12</v>
          </cell>
          <cell r="S74">
            <v>12</v>
          </cell>
          <cell r="T74">
            <v>12</v>
          </cell>
          <cell r="AK74">
            <v>61</v>
          </cell>
          <cell r="AL74" t="str">
            <v>ERMEL MONARI COSTA</v>
          </cell>
        </row>
        <row r="75">
          <cell r="A75" t="str">
            <v>HUF-5622</v>
          </cell>
          <cell r="B75">
            <v>12</v>
          </cell>
          <cell r="C75">
            <v>12</v>
          </cell>
          <cell r="D75">
            <v>12</v>
          </cell>
          <cell r="E75">
            <v>12</v>
          </cell>
          <cell r="F75">
            <v>12</v>
          </cell>
          <cell r="G75">
            <v>12</v>
          </cell>
          <cell r="H75">
            <v>12</v>
          </cell>
          <cell r="I75">
            <v>12</v>
          </cell>
          <cell r="J75">
            <v>12</v>
          </cell>
          <cell r="K75">
            <v>12</v>
          </cell>
          <cell r="L75">
            <v>12</v>
          </cell>
          <cell r="M75">
            <v>12</v>
          </cell>
          <cell r="N75">
            <v>12</v>
          </cell>
          <cell r="O75">
            <v>12</v>
          </cell>
          <cell r="P75">
            <v>12</v>
          </cell>
          <cell r="Q75">
            <v>12</v>
          </cell>
          <cell r="R75">
            <v>12</v>
          </cell>
          <cell r="S75">
            <v>12</v>
          </cell>
          <cell r="T75">
            <v>12</v>
          </cell>
          <cell r="AK75">
            <v>58</v>
          </cell>
          <cell r="AL75" t="str">
            <v>FRANCISCO CARMENIO BATISTA</v>
          </cell>
        </row>
        <row r="76">
          <cell r="A76" t="str">
            <v>HWL-0250</v>
          </cell>
          <cell r="B76">
            <v>12.3</v>
          </cell>
          <cell r="C76">
            <v>12.3</v>
          </cell>
          <cell r="D76">
            <v>12.3</v>
          </cell>
          <cell r="E76">
            <v>12.3</v>
          </cell>
          <cell r="F76">
            <v>12.3</v>
          </cell>
          <cell r="G76">
            <v>12.3</v>
          </cell>
          <cell r="H76">
            <v>12.3</v>
          </cell>
          <cell r="I76">
            <v>12.3</v>
          </cell>
          <cell r="J76">
            <v>12.3</v>
          </cell>
          <cell r="K76">
            <v>12.3</v>
          </cell>
          <cell r="L76">
            <v>12.3</v>
          </cell>
          <cell r="M76">
            <v>12.3</v>
          </cell>
          <cell r="N76">
            <v>12.3</v>
          </cell>
          <cell r="O76">
            <v>12.3</v>
          </cell>
          <cell r="P76">
            <v>12.3</v>
          </cell>
          <cell r="Q76">
            <v>12.3</v>
          </cell>
          <cell r="R76">
            <v>12.3</v>
          </cell>
          <cell r="S76">
            <v>12.3</v>
          </cell>
          <cell r="T76">
            <v>12.3</v>
          </cell>
          <cell r="AK76">
            <v>62</v>
          </cell>
          <cell r="AL76" t="str">
            <v>ZILTON PACHECO</v>
          </cell>
        </row>
        <row r="77">
          <cell r="A77" t="str">
            <v>HVB-0095</v>
          </cell>
          <cell r="B77">
            <v>12.5</v>
          </cell>
          <cell r="C77">
            <v>12.5</v>
          </cell>
          <cell r="D77">
            <v>12.5</v>
          </cell>
          <cell r="E77">
            <v>12.5</v>
          </cell>
          <cell r="F77">
            <v>12.5</v>
          </cell>
          <cell r="G77">
            <v>12.5</v>
          </cell>
          <cell r="H77">
            <v>12.5</v>
          </cell>
          <cell r="I77">
            <v>12.5</v>
          </cell>
          <cell r="J77">
            <v>12.5</v>
          </cell>
          <cell r="K77">
            <v>12.5</v>
          </cell>
          <cell r="L77">
            <v>12.5</v>
          </cell>
          <cell r="M77">
            <v>12.5</v>
          </cell>
          <cell r="N77">
            <v>12.5</v>
          </cell>
          <cell r="O77">
            <v>12.5</v>
          </cell>
          <cell r="P77">
            <v>12.5</v>
          </cell>
          <cell r="Q77">
            <v>12.5</v>
          </cell>
          <cell r="R77">
            <v>12.5</v>
          </cell>
          <cell r="S77">
            <v>12.5</v>
          </cell>
          <cell r="T77">
            <v>12.5</v>
          </cell>
          <cell r="AK77">
            <v>62</v>
          </cell>
          <cell r="AL77" t="str">
            <v>ZILTON PACHECO</v>
          </cell>
        </row>
        <row r="78">
          <cell r="A78" t="str">
            <v>JTE-2846</v>
          </cell>
          <cell r="B78">
            <v>12.5</v>
          </cell>
          <cell r="C78">
            <v>12.5</v>
          </cell>
          <cell r="D78">
            <v>12.5</v>
          </cell>
          <cell r="E78">
            <v>12.5</v>
          </cell>
          <cell r="F78">
            <v>12.5</v>
          </cell>
          <cell r="G78">
            <v>12.5</v>
          </cell>
          <cell r="H78">
            <v>12.5</v>
          </cell>
          <cell r="I78">
            <v>12.5</v>
          </cell>
          <cell r="J78">
            <v>12.5</v>
          </cell>
          <cell r="K78">
            <v>12.5</v>
          </cell>
          <cell r="L78">
            <v>12.5</v>
          </cell>
          <cell r="M78">
            <v>12.5</v>
          </cell>
          <cell r="N78">
            <v>12.5</v>
          </cell>
          <cell r="O78">
            <v>12.5</v>
          </cell>
          <cell r="P78">
            <v>12.5</v>
          </cell>
          <cell r="Q78">
            <v>12.5</v>
          </cell>
          <cell r="R78">
            <v>12.5</v>
          </cell>
          <cell r="S78">
            <v>12.5</v>
          </cell>
          <cell r="T78">
            <v>12.5</v>
          </cell>
          <cell r="AK78">
            <v>62</v>
          </cell>
          <cell r="AL78" t="str">
            <v>ZILTON PACHECO</v>
          </cell>
        </row>
        <row r="79">
          <cell r="A79" t="str">
            <v>HVN-1591</v>
          </cell>
          <cell r="B79">
            <v>13</v>
          </cell>
          <cell r="C79">
            <v>13</v>
          </cell>
          <cell r="D79">
            <v>13</v>
          </cell>
          <cell r="E79">
            <v>13</v>
          </cell>
          <cell r="F79">
            <v>13</v>
          </cell>
          <cell r="G79">
            <v>13</v>
          </cell>
          <cell r="H79">
            <v>13</v>
          </cell>
          <cell r="I79">
            <v>13</v>
          </cell>
          <cell r="J79">
            <v>13</v>
          </cell>
          <cell r="K79">
            <v>13</v>
          </cell>
          <cell r="L79">
            <v>13</v>
          </cell>
          <cell r="M79">
            <v>13</v>
          </cell>
          <cell r="N79">
            <v>13</v>
          </cell>
          <cell r="O79">
            <v>13</v>
          </cell>
          <cell r="P79">
            <v>13</v>
          </cell>
          <cell r="Q79">
            <v>13</v>
          </cell>
          <cell r="R79">
            <v>13</v>
          </cell>
          <cell r="S79">
            <v>13</v>
          </cell>
          <cell r="T79">
            <v>13</v>
          </cell>
          <cell r="AK79">
            <v>63</v>
          </cell>
          <cell r="AL79" t="str">
            <v>JOSÉ IVANILDO MIRANDA MATOS</v>
          </cell>
        </row>
        <row r="80">
          <cell r="A80" t="str">
            <v>HVB-7065</v>
          </cell>
          <cell r="B80">
            <v>12.5</v>
          </cell>
          <cell r="C80">
            <v>12.5</v>
          </cell>
          <cell r="D80">
            <v>12.5</v>
          </cell>
          <cell r="E80">
            <v>12.5</v>
          </cell>
          <cell r="F80">
            <v>12.5</v>
          </cell>
          <cell r="G80">
            <v>12.5</v>
          </cell>
          <cell r="H80">
            <v>12.5</v>
          </cell>
          <cell r="I80">
            <v>12.5</v>
          </cell>
          <cell r="J80">
            <v>12.5</v>
          </cell>
          <cell r="K80">
            <v>12.5</v>
          </cell>
          <cell r="L80">
            <v>12.5</v>
          </cell>
          <cell r="M80">
            <v>12.5</v>
          </cell>
          <cell r="N80">
            <v>12.5</v>
          </cell>
          <cell r="O80">
            <v>12.5</v>
          </cell>
          <cell r="P80">
            <v>12.5</v>
          </cell>
          <cell r="Q80">
            <v>12.5</v>
          </cell>
          <cell r="R80">
            <v>12.5</v>
          </cell>
          <cell r="S80">
            <v>12.5</v>
          </cell>
          <cell r="T80">
            <v>12.5</v>
          </cell>
          <cell r="AK80">
            <v>64</v>
          </cell>
          <cell r="AL80" t="str">
            <v>ROBERTO BARBOSA MOREIRA</v>
          </cell>
        </row>
        <row r="81">
          <cell r="A81" t="str">
            <v>HUH-2447</v>
          </cell>
          <cell r="B81">
            <v>12.3</v>
          </cell>
          <cell r="C81">
            <v>12.3</v>
          </cell>
          <cell r="D81">
            <v>12.3</v>
          </cell>
          <cell r="E81">
            <v>12.3</v>
          </cell>
          <cell r="F81">
            <v>12.3</v>
          </cell>
          <cell r="G81">
            <v>12.3</v>
          </cell>
          <cell r="H81">
            <v>12.3</v>
          </cell>
          <cell r="I81">
            <v>12.3</v>
          </cell>
          <cell r="J81">
            <v>12.3</v>
          </cell>
          <cell r="K81">
            <v>12.3</v>
          </cell>
          <cell r="L81">
            <v>12.3</v>
          </cell>
          <cell r="M81">
            <v>12.3</v>
          </cell>
          <cell r="N81">
            <v>12.3</v>
          </cell>
          <cell r="O81">
            <v>12.3</v>
          </cell>
          <cell r="P81">
            <v>12.3</v>
          </cell>
          <cell r="Q81">
            <v>12.3</v>
          </cell>
          <cell r="R81">
            <v>12.3</v>
          </cell>
          <cell r="S81">
            <v>12.3</v>
          </cell>
          <cell r="T81">
            <v>12.3</v>
          </cell>
          <cell r="AK81">
            <v>65</v>
          </cell>
          <cell r="AL81" t="str">
            <v>JOCIMAR SOUSA LIMA</v>
          </cell>
        </row>
        <row r="82">
          <cell r="A82" t="str">
            <v>HUL-7108</v>
          </cell>
          <cell r="B82">
            <v>12</v>
          </cell>
          <cell r="C82">
            <v>12</v>
          </cell>
          <cell r="D82">
            <v>12</v>
          </cell>
          <cell r="E82">
            <v>12</v>
          </cell>
          <cell r="F82">
            <v>12</v>
          </cell>
          <cell r="G82">
            <v>12</v>
          </cell>
          <cell r="H82">
            <v>12</v>
          </cell>
          <cell r="I82">
            <v>12</v>
          </cell>
          <cell r="J82">
            <v>12</v>
          </cell>
          <cell r="K82">
            <v>12</v>
          </cell>
          <cell r="L82">
            <v>12</v>
          </cell>
          <cell r="M82">
            <v>12</v>
          </cell>
          <cell r="N82">
            <v>12</v>
          </cell>
          <cell r="O82">
            <v>12</v>
          </cell>
          <cell r="P82">
            <v>12</v>
          </cell>
          <cell r="Q82">
            <v>12</v>
          </cell>
          <cell r="R82">
            <v>12</v>
          </cell>
          <cell r="S82">
            <v>12</v>
          </cell>
          <cell r="T82">
            <v>12</v>
          </cell>
          <cell r="AK82">
            <v>66</v>
          </cell>
          <cell r="AL82" t="str">
            <v xml:space="preserve">JOSÉ ITAMAR DAMASCENO BRAGA </v>
          </cell>
        </row>
        <row r="83">
          <cell r="A83" t="str">
            <v>MYT-0168</v>
          </cell>
          <cell r="B83">
            <v>13</v>
          </cell>
          <cell r="C83">
            <v>13</v>
          </cell>
          <cell r="D83">
            <v>13</v>
          </cell>
          <cell r="E83">
            <v>13</v>
          </cell>
          <cell r="F83">
            <v>13</v>
          </cell>
          <cell r="G83">
            <v>13</v>
          </cell>
          <cell r="H83">
            <v>13</v>
          </cell>
          <cell r="I83">
            <v>13</v>
          </cell>
          <cell r="J83">
            <v>13</v>
          </cell>
          <cell r="K83">
            <v>13</v>
          </cell>
          <cell r="L83">
            <v>13</v>
          </cell>
          <cell r="M83">
            <v>13</v>
          </cell>
          <cell r="N83">
            <v>13</v>
          </cell>
          <cell r="O83">
            <v>13</v>
          </cell>
          <cell r="P83">
            <v>13</v>
          </cell>
          <cell r="Q83">
            <v>13</v>
          </cell>
          <cell r="R83">
            <v>13</v>
          </cell>
          <cell r="S83">
            <v>13</v>
          </cell>
          <cell r="T83">
            <v>13</v>
          </cell>
          <cell r="AK83">
            <v>67</v>
          </cell>
          <cell r="AL83" t="str">
            <v>EINSTEIN MENDONÇA DE OLIVEIRA</v>
          </cell>
        </row>
        <row r="84">
          <cell r="A84" t="str">
            <v>JTU-1830</v>
          </cell>
          <cell r="B84">
            <v>13</v>
          </cell>
          <cell r="C84">
            <v>13</v>
          </cell>
          <cell r="D84">
            <v>13</v>
          </cell>
          <cell r="E84">
            <v>13</v>
          </cell>
          <cell r="F84">
            <v>13</v>
          </cell>
          <cell r="G84">
            <v>13</v>
          </cell>
          <cell r="H84">
            <v>13</v>
          </cell>
          <cell r="I84">
            <v>13</v>
          </cell>
          <cell r="J84">
            <v>13</v>
          </cell>
          <cell r="K84">
            <v>13</v>
          </cell>
          <cell r="L84">
            <v>13</v>
          </cell>
          <cell r="M84">
            <v>13</v>
          </cell>
          <cell r="N84">
            <v>13</v>
          </cell>
          <cell r="O84">
            <v>13</v>
          </cell>
          <cell r="P84">
            <v>13</v>
          </cell>
          <cell r="Q84">
            <v>13</v>
          </cell>
          <cell r="R84">
            <v>13</v>
          </cell>
          <cell r="S84">
            <v>13</v>
          </cell>
          <cell r="T84">
            <v>13</v>
          </cell>
          <cell r="AK84">
            <v>68</v>
          </cell>
          <cell r="AL84" t="str">
            <v>EDUARDO MARTINS DE SOUSA</v>
          </cell>
        </row>
        <row r="85">
          <cell r="A85" t="str">
            <v>HVI-3768</v>
          </cell>
          <cell r="B85">
            <v>12</v>
          </cell>
          <cell r="C85">
            <v>12</v>
          </cell>
          <cell r="D85">
            <v>12</v>
          </cell>
          <cell r="E85">
            <v>12</v>
          </cell>
          <cell r="F85">
            <v>12</v>
          </cell>
          <cell r="G85">
            <v>12</v>
          </cell>
          <cell r="H85">
            <v>12</v>
          </cell>
          <cell r="I85">
            <v>12</v>
          </cell>
          <cell r="J85">
            <v>12</v>
          </cell>
          <cell r="K85">
            <v>12</v>
          </cell>
          <cell r="L85">
            <v>12</v>
          </cell>
          <cell r="M85">
            <v>12</v>
          </cell>
          <cell r="N85">
            <v>12</v>
          </cell>
          <cell r="O85">
            <v>12</v>
          </cell>
          <cell r="P85">
            <v>12</v>
          </cell>
          <cell r="Q85">
            <v>12</v>
          </cell>
          <cell r="R85">
            <v>12</v>
          </cell>
          <cell r="S85">
            <v>12</v>
          </cell>
          <cell r="T85">
            <v>12</v>
          </cell>
          <cell r="AK85">
            <v>69</v>
          </cell>
          <cell r="AL85" t="str">
            <v>ANTONIO NILTON DE SOUZA CAVALCANTE</v>
          </cell>
        </row>
        <row r="86">
          <cell r="A86" t="str">
            <v>HVP-8337</v>
          </cell>
          <cell r="B86">
            <v>12</v>
          </cell>
          <cell r="C86">
            <v>12</v>
          </cell>
          <cell r="D86">
            <v>12</v>
          </cell>
          <cell r="E86">
            <v>12</v>
          </cell>
          <cell r="F86">
            <v>12</v>
          </cell>
          <cell r="G86">
            <v>12</v>
          </cell>
          <cell r="H86">
            <v>12</v>
          </cell>
          <cell r="I86">
            <v>12</v>
          </cell>
          <cell r="J86">
            <v>12</v>
          </cell>
          <cell r="K86">
            <v>12</v>
          </cell>
          <cell r="L86">
            <v>12</v>
          </cell>
          <cell r="M86">
            <v>12</v>
          </cell>
          <cell r="N86">
            <v>12</v>
          </cell>
          <cell r="O86">
            <v>12</v>
          </cell>
          <cell r="P86">
            <v>12</v>
          </cell>
          <cell r="Q86">
            <v>12</v>
          </cell>
          <cell r="R86">
            <v>12</v>
          </cell>
          <cell r="S86">
            <v>12</v>
          </cell>
          <cell r="T86">
            <v>12</v>
          </cell>
          <cell r="AK86">
            <v>70</v>
          </cell>
          <cell r="AL86" t="str">
            <v>JOSÉ NILSON FONTENELE ARAÚJO</v>
          </cell>
        </row>
        <row r="87">
          <cell r="A87" t="str">
            <v>HVI-9938</v>
          </cell>
          <cell r="B87">
            <v>11</v>
          </cell>
          <cell r="C87">
            <v>11</v>
          </cell>
          <cell r="D87">
            <v>11</v>
          </cell>
          <cell r="E87">
            <v>11</v>
          </cell>
          <cell r="F87">
            <v>11</v>
          </cell>
          <cell r="G87">
            <v>11</v>
          </cell>
          <cell r="H87">
            <v>11</v>
          </cell>
          <cell r="I87">
            <v>11</v>
          </cell>
          <cell r="J87">
            <v>11</v>
          </cell>
          <cell r="K87">
            <v>11</v>
          </cell>
          <cell r="L87">
            <v>11</v>
          </cell>
          <cell r="M87">
            <v>11</v>
          </cell>
          <cell r="N87">
            <v>11</v>
          </cell>
          <cell r="O87">
            <v>11</v>
          </cell>
          <cell r="P87">
            <v>11</v>
          </cell>
          <cell r="Q87">
            <v>11</v>
          </cell>
          <cell r="R87">
            <v>11</v>
          </cell>
          <cell r="S87">
            <v>11</v>
          </cell>
          <cell r="T87">
            <v>11</v>
          </cell>
          <cell r="AK87">
            <v>71</v>
          </cell>
          <cell r="AL87" t="str">
            <v>VALDEMIR JOSÉ DOS SANTOS</v>
          </cell>
        </row>
        <row r="88">
          <cell r="A88" t="str">
            <v>ADL-1779</v>
          </cell>
          <cell r="B88">
            <v>12</v>
          </cell>
          <cell r="C88">
            <v>12</v>
          </cell>
          <cell r="D88">
            <v>12</v>
          </cell>
          <cell r="E88">
            <v>12</v>
          </cell>
          <cell r="F88">
            <v>12</v>
          </cell>
          <cell r="G88">
            <v>12</v>
          </cell>
          <cell r="H88">
            <v>12</v>
          </cell>
          <cell r="I88">
            <v>12</v>
          </cell>
          <cell r="J88">
            <v>12</v>
          </cell>
          <cell r="K88">
            <v>12</v>
          </cell>
          <cell r="L88">
            <v>12</v>
          </cell>
          <cell r="M88">
            <v>12</v>
          </cell>
          <cell r="N88">
            <v>12</v>
          </cell>
          <cell r="O88">
            <v>12</v>
          </cell>
          <cell r="P88">
            <v>12</v>
          </cell>
          <cell r="Q88">
            <v>12</v>
          </cell>
          <cell r="R88">
            <v>12</v>
          </cell>
          <cell r="S88">
            <v>12</v>
          </cell>
          <cell r="T88">
            <v>12</v>
          </cell>
          <cell r="AK88">
            <v>72</v>
          </cell>
          <cell r="AL88" t="str">
            <v>JOSÉ MOREIRA NETO</v>
          </cell>
        </row>
        <row r="89">
          <cell r="A89" t="str">
            <v>HUX-1819</v>
          </cell>
          <cell r="B89">
            <v>12</v>
          </cell>
          <cell r="C89">
            <v>12</v>
          </cell>
          <cell r="D89">
            <v>12</v>
          </cell>
          <cell r="E89">
            <v>12</v>
          </cell>
          <cell r="F89">
            <v>12</v>
          </cell>
          <cell r="G89">
            <v>12</v>
          </cell>
          <cell r="H89">
            <v>12</v>
          </cell>
          <cell r="I89">
            <v>12</v>
          </cell>
          <cell r="J89">
            <v>12</v>
          </cell>
          <cell r="K89">
            <v>12</v>
          </cell>
          <cell r="L89">
            <v>12</v>
          </cell>
          <cell r="M89">
            <v>12</v>
          </cell>
          <cell r="N89">
            <v>12</v>
          </cell>
          <cell r="O89">
            <v>12</v>
          </cell>
          <cell r="P89">
            <v>12</v>
          </cell>
          <cell r="Q89">
            <v>12</v>
          </cell>
          <cell r="R89">
            <v>12</v>
          </cell>
          <cell r="S89">
            <v>12</v>
          </cell>
          <cell r="T89">
            <v>12</v>
          </cell>
          <cell r="AK89">
            <v>83</v>
          </cell>
          <cell r="AL89" t="str">
            <v>EUGENIA MARIA DA SILVA</v>
          </cell>
        </row>
        <row r="90">
          <cell r="A90" t="str">
            <v>HVB-5881</v>
          </cell>
          <cell r="AK90">
            <v>74</v>
          </cell>
          <cell r="AL90" t="str">
            <v>MEIRELES TRANSPORTES</v>
          </cell>
        </row>
        <row r="91">
          <cell r="A91" t="str">
            <v>HVR-5540</v>
          </cell>
          <cell r="AK91">
            <v>74</v>
          </cell>
          <cell r="AL91" t="str">
            <v>MEIRELES TRANSPORTES</v>
          </cell>
        </row>
        <row r="92">
          <cell r="A92" t="str">
            <v>LIL-2816</v>
          </cell>
          <cell r="B92">
            <v>12</v>
          </cell>
          <cell r="C92">
            <v>12</v>
          </cell>
          <cell r="D92">
            <v>12</v>
          </cell>
          <cell r="E92">
            <v>12</v>
          </cell>
          <cell r="F92">
            <v>12</v>
          </cell>
          <cell r="G92">
            <v>12</v>
          </cell>
          <cell r="H92">
            <v>12</v>
          </cell>
          <cell r="I92">
            <v>12</v>
          </cell>
          <cell r="J92">
            <v>12</v>
          </cell>
          <cell r="K92">
            <v>12</v>
          </cell>
          <cell r="L92">
            <v>12</v>
          </cell>
          <cell r="M92">
            <v>12</v>
          </cell>
          <cell r="N92">
            <v>12</v>
          </cell>
          <cell r="O92">
            <v>12</v>
          </cell>
          <cell r="P92">
            <v>12</v>
          </cell>
          <cell r="Q92">
            <v>12</v>
          </cell>
          <cell r="R92">
            <v>12</v>
          </cell>
          <cell r="S92">
            <v>12</v>
          </cell>
          <cell r="T92">
            <v>12</v>
          </cell>
          <cell r="AK92">
            <v>75</v>
          </cell>
          <cell r="AL92" t="str">
            <v>RONALDO FIGUEREDO LIMA</v>
          </cell>
        </row>
        <row r="93">
          <cell r="A93" t="str">
            <v>LHT-3151</v>
          </cell>
          <cell r="B93">
            <v>12</v>
          </cell>
          <cell r="C93">
            <v>12</v>
          </cell>
          <cell r="D93">
            <v>12</v>
          </cell>
          <cell r="E93">
            <v>12</v>
          </cell>
          <cell r="F93">
            <v>12</v>
          </cell>
          <cell r="G93">
            <v>12</v>
          </cell>
          <cell r="H93">
            <v>12</v>
          </cell>
          <cell r="I93">
            <v>12</v>
          </cell>
          <cell r="J93">
            <v>12</v>
          </cell>
          <cell r="K93">
            <v>12</v>
          </cell>
          <cell r="L93">
            <v>12</v>
          </cell>
          <cell r="M93">
            <v>12</v>
          </cell>
          <cell r="N93">
            <v>12</v>
          </cell>
          <cell r="O93">
            <v>12</v>
          </cell>
          <cell r="P93">
            <v>12</v>
          </cell>
          <cell r="Q93">
            <v>12</v>
          </cell>
          <cell r="R93">
            <v>12</v>
          </cell>
          <cell r="S93">
            <v>12</v>
          </cell>
          <cell r="T93">
            <v>12</v>
          </cell>
          <cell r="AK93">
            <v>76</v>
          </cell>
          <cell r="AL93" t="str">
            <v>FRANCISCO BATISTA DA SILVA</v>
          </cell>
        </row>
        <row r="94">
          <cell r="A94" t="str">
            <v>ABE-0860</v>
          </cell>
          <cell r="B94">
            <v>13</v>
          </cell>
          <cell r="C94">
            <v>13</v>
          </cell>
          <cell r="D94">
            <v>13</v>
          </cell>
          <cell r="E94">
            <v>13</v>
          </cell>
          <cell r="F94">
            <v>13</v>
          </cell>
          <cell r="G94">
            <v>13</v>
          </cell>
          <cell r="H94">
            <v>13</v>
          </cell>
          <cell r="I94">
            <v>13</v>
          </cell>
          <cell r="J94">
            <v>13</v>
          </cell>
          <cell r="K94">
            <v>13</v>
          </cell>
          <cell r="L94">
            <v>13</v>
          </cell>
          <cell r="M94">
            <v>13</v>
          </cell>
          <cell r="N94">
            <v>13</v>
          </cell>
          <cell r="O94">
            <v>13</v>
          </cell>
          <cell r="P94">
            <v>13</v>
          </cell>
          <cell r="Q94">
            <v>13</v>
          </cell>
          <cell r="R94">
            <v>13</v>
          </cell>
          <cell r="S94">
            <v>13</v>
          </cell>
          <cell r="T94">
            <v>13</v>
          </cell>
          <cell r="AK94">
            <v>77</v>
          </cell>
          <cell r="AL94" t="str">
            <v>SÉRGIO DA SILVA</v>
          </cell>
        </row>
        <row r="95">
          <cell r="A95" t="str">
            <v>BWQ-3354</v>
          </cell>
          <cell r="B95">
            <v>12</v>
          </cell>
          <cell r="C95">
            <v>12</v>
          </cell>
          <cell r="D95">
            <v>12</v>
          </cell>
          <cell r="E95">
            <v>12</v>
          </cell>
          <cell r="F95">
            <v>12</v>
          </cell>
          <cell r="G95">
            <v>12</v>
          </cell>
          <cell r="H95">
            <v>12</v>
          </cell>
          <cell r="I95">
            <v>12</v>
          </cell>
          <cell r="J95">
            <v>12</v>
          </cell>
          <cell r="K95">
            <v>12</v>
          </cell>
          <cell r="L95">
            <v>12</v>
          </cell>
          <cell r="M95">
            <v>12</v>
          </cell>
          <cell r="N95">
            <v>12</v>
          </cell>
          <cell r="O95">
            <v>12</v>
          </cell>
          <cell r="P95">
            <v>12</v>
          </cell>
          <cell r="Q95">
            <v>12</v>
          </cell>
          <cell r="R95">
            <v>12</v>
          </cell>
          <cell r="S95">
            <v>12</v>
          </cell>
          <cell r="T95">
            <v>12</v>
          </cell>
          <cell r="AK95">
            <v>77</v>
          </cell>
          <cell r="AL95" t="str">
            <v>SÉRGIO DA SILVA</v>
          </cell>
        </row>
        <row r="96">
          <cell r="A96" t="str">
            <v>HVR-1022</v>
          </cell>
          <cell r="B96">
            <v>13.5</v>
          </cell>
          <cell r="C96">
            <v>13.5</v>
          </cell>
          <cell r="D96">
            <v>13.5</v>
          </cell>
          <cell r="E96">
            <v>13.5</v>
          </cell>
          <cell r="F96">
            <v>13.5</v>
          </cell>
          <cell r="G96">
            <v>13.5</v>
          </cell>
          <cell r="H96">
            <v>13.5</v>
          </cell>
          <cell r="I96">
            <v>13.5</v>
          </cell>
          <cell r="J96">
            <v>13.5</v>
          </cell>
          <cell r="K96">
            <v>13.5</v>
          </cell>
          <cell r="L96">
            <v>13.5</v>
          </cell>
          <cell r="M96">
            <v>13.5</v>
          </cell>
          <cell r="N96">
            <v>13.5</v>
          </cell>
          <cell r="O96">
            <v>13.5</v>
          </cell>
          <cell r="P96">
            <v>13.5</v>
          </cell>
          <cell r="Q96">
            <v>13.5</v>
          </cell>
          <cell r="R96">
            <v>13.5</v>
          </cell>
          <cell r="S96">
            <v>13.5</v>
          </cell>
          <cell r="T96">
            <v>13.5</v>
          </cell>
          <cell r="AK96">
            <v>78</v>
          </cell>
          <cell r="AL96" t="str">
            <v>JOAQUIM LOPES DE MENEZES</v>
          </cell>
        </row>
        <row r="97">
          <cell r="A97" t="str">
            <v>HUS-0409</v>
          </cell>
          <cell r="AK97">
            <v>74</v>
          </cell>
          <cell r="AL97" t="str">
            <v>MEIRELES TRANSPORTES</v>
          </cell>
        </row>
        <row r="98">
          <cell r="A98" t="str">
            <v>HWA-2399</v>
          </cell>
          <cell r="B98">
            <v>12</v>
          </cell>
          <cell r="C98">
            <v>12</v>
          </cell>
          <cell r="D98">
            <v>12</v>
          </cell>
          <cell r="E98">
            <v>12</v>
          </cell>
          <cell r="F98">
            <v>12</v>
          </cell>
          <cell r="G98">
            <v>12</v>
          </cell>
          <cell r="H98">
            <v>12</v>
          </cell>
          <cell r="I98">
            <v>12</v>
          </cell>
          <cell r="J98">
            <v>12</v>
          </cell>
          <cell r="K98">
            <v>12</v>
          </cell>
          <cell r="L98">
            <v>12</v>
          </cell>
          <cell r="M98">
            <v>12</v>
          </cell>
          <cell r="N98">
            <v>12</v>
          </cell>
          <cell r="O98">
            <v>12</v>
          </cell>
          <cell r="P98">
            <v>12</v>
          </cell>
          <cell r="Q98">
            <v>12</v>
          </cell>
          <cell r="R98">
            <v>12</v>
          </cell>
          <cell r="S98">
            <v>12</v>
          </cell>
          <cell r="T98">
            <v>12</v>
          </cell>
          <cell r="AK98">
            <v>78</v>
          </cell>
          <cell r="AL98" t="str">
            <v>JOAQUIM LOPES DE MENEZES</v>
          </cell>
        </row>
        <row r="99">
          <cell r="A99" t="str">
            <v>IAV-4533</v>
          </cell>
          <cell r="B99">
            <v>13</v>
          </cell>
          <cell r="C99">
            <v>13</v>
          </cell>
          <cell r="D99">
            <v>13</v>
          </cell>
          <cell r="E99">
            <v>13</v>
          </cell>
          <cell r="F99">
            <v>13</v>
          </cell>
          <cell r="G99">
            <v>13</v>
          </cell>
          <cell r="H99">
            <v>13</v>
          </cell>
          <cell r="I99">
            <v>13</v>
          </cell>
          <cell r="J99">
            <v>13</v>
          </cell>
          <cell r="K99">
            <v>13</v>
          </cell>
          <cell r="L99">
            <v>13</v>
          </cell>
          <cell r="M99">
            <v>13</v>
          </cell>
          <cell r="N99">
            <v>13</v>
          </cell>
          <cell r="O99">
            <v>13</v>
          </cell>
          <cell r="P99">
            <v>13</v>
          </cell>
          <cell r="Q99">
            <v>13</v>
          </cell>
          <cell r="R99">
            <v>13</v>
          </cell>
          <cell r="S99">
            <v>13</v>
          </cell>
          <cell r="T99">
            <v>13</v>
          </cell>
          <cell r="AK99">
            <v>79</v>
          </cell>
          <cell r="AL99" t="str">
            <v>LUIZ CARLOS DE QUEIROZ LIMA</v>
          </cell>
        </row>
        <row r="100">
          <cell r="A100" t="str">
            <v>HOO-3826</v>
          </cell>
          <cell r="B100">
            <v>13.5</v>
          </cell>
          <cell r="C100">
            <v>13.5</v>
          </cell>
          <cell r="D100">
            <v>13.5</v>
          </cell>
          <cell r="E100">
            <v>13.5</v>
          </cell>
          <cell r="F100">
            <v>13.5</v>
          </cell>
          <cell r="G100">
            <v>13.5</v>
          </cell>
          <cell r="H100">
            <v>13.5</v>
          </cell>
          <cell r="I100">
            <v>13.5</v>
          </cell>
          <cell r="J100">
            <v>13.5</v>
          </cell>
          <cell r="K100">
            <v>13.5</v>
          </cell>
          <cell r="L100">
            <v>13.5</v>
          </cell>
          <cell r="M100">
            <v>13.5</v>
          </cell>
          <cell r="N100">
            <v>13.5</v>
          </cell>
          <cell r="O100">
            <v>13.5</v>
          </cell>
          <cell r="P100">
            <v>13.5</v>
          </cell>
          <cell r="Q100">
            <v>13.5</v>
          </cell>
          <cell r="R100">
            <v>13.5</v>
          </cell>
          <cell r="S100">
            <v>13.5</v>
          </cell>
          <cell r="T100">
            <v>13.5</v>
          </cell>
          <cell r="AK100">
            <v>80</v>
          </cell>
          <cell r="AL100" t="str">
            <v>EDIVAL PEREIRA LIMA</v>
          </cell>
        </row>
        <row r="101">
          <cell r="A101" t="str">
            <v>HWC-9018</v>
          </cell>
          <cell r="B101">
            <v>12.5</v>
          </cell>
          <cell r="C101">
            <v>12.5</v>
          </cell>
          <cell r="D101">
            <v>12.5</v>
          </cell>
          <cell r="E101">
            <v>12.5</v>
          </cell>
          <cell r="F101">
            <v>12.5</v>
          </cell>
          <cell r="G101">
            <v>12.5</v>
          </cell>
          <cell r="H101">
            <v>12.5</v>
          </cell>
          <cell r="I101">
            <v>12.5</v>
          </cell>
          <cell r="J101">
            <v>12.5</v>
          </cell>
          <cell r="K101">
            <v>12.5</v>
          </cell>
          <cell r="L101">
            <v>12.5</v>
          </cell>
          <cell r="M101">
            <v>12.5</v>
          </cell>
          <cell r="N101">
            <v>12.5</v>
          </cell>
          <cell r="O101">
            <v>12.5</v>
          </cell>
          <cell r="P101">
            <v>12.5</v>
          </cell>
          <cell r="Q101">
            <v>12.5</v>
          </cell>
          <cell r="R101">
            <v>12.5</v>
          </cell>
          <cell r="S101">
            <v>12.5</v>
          </cell>
          <cell r="T101">
            <v>12.5</v>
          </cell>
          <cell r="AK101">
            <v>81</v>
          </cell>
          <cell r="AL101" t="str">
            <v>FRANCISCO ALVES LUCAS FILHO</v>
          </cell>
        </row>
        <row r="102">
          <cell r="A102" t="str">
            <v>HUJ-1018</v>
          </cell>
          <cell r="B102">
            <v>12</v>
          </cell>
          <cell r="C102">
            <v>12</v>
          </cell>
          <cell r="D102">
            <v>12</v>
          </cell>
          <cell r="E102">
            <v>12</v>
          </cell>
          <cell r="F102">
            <v>12</v>
          </cell>
          <cell r="G102">
            <v>12</v>
          </cell>
          <cell r="H102">
            <v>12</v>
          </cell>
          <cell r="I102">
            <v>12</v>
          </cell>
          <cell r="J102">
            <v>12</v>
          </cell>
          <cell r="K102">
            <v>12</v>
          </cell>
          <cell r="L102">
            <v>12</v>
          </cell>
          <cell r="M102">
            <v>12</v>
          </cell>
          <cell r="N102">
            <v>12</v>
          </cell>
          <cell r="O102">
            <v>12</v>
          </cell>
          <cell r="P102">
            <v>12</v>
          </cell>
          <cell r="Q102">
            <v>12</v>
          </cell>
          <cell r="R102">
            <v>12</v>
          </cell>
          <cell r="S102">
            <v>12</v>
          </cell>
          <cell r="T102">
            <v>12</v>
          </cell>
          <cell r="AK102">
            <v>73</v>
          </cell>
          <cell r="AL102" t="str">
            <v>TARCISIO  FERREIRA PIMENTEL FILHO</v>
          </cell>
        </row>
        <row r="103">
          <cell r="A103" t="str">
            <v>JTG-5832</v>
          </cell>
          <cell r="B103">
            <v>13</v>
          </cell>
          <cell r="C103">
            <v>13</v>
          </cell>
          <cell r="D103">
            <v>13</v>
          </cell>
          <cell r="E103">
            <v>13</v>
          </cell>
          <cell r="F103">
            <v>13</v>
          </cell>
          <cell r="G103">
            <v>13</v>
          </cell>
          <cell r="H103">
            <v>13</v>
          </cell>
          <cell r="I103">
            <v>13</v>
          </cell>
          <cell r="J103">
            <v>13</v>
          </cell>
          <cell r="K103">
            <v>13</v>
          </cell>
          <cell r="L103">
            <v>13</v>
          </cell>
          <cell r="M103">
            <v>13</v>
          </cell>
          <cell r="N103">
            <v>13</v>
          </cell>
          <cell r="O103">
            <v>13</v>
          </cell>
          <cell r="P103">
            <v>13</v>
          </cell>
          <cell r="Q103">
            <v>13</v>
          </cell>
          <cell r="R103">
            <v>13</v>
          </cell>
          <cell r="S103">
            <v>13</v>
          </cell>
          <cell r="T103">
            <v>13</v>
          </cell>
          <cell r="AK103">
            <v>82</v>
          </cell>
          <cell r="AL103" t="str">
            <v>RICARDO SILVA SOUZA</v>
          </cell>
        </row>
        <row r="104">
          <cell r="A104" t="str">
            <v>ATS-0071</v>
          </cell>
          <cell r="B104">
            <v>14.6</v>
          </cell>
          <cell r="C104">
            <v>14.6</v>
          </cell>
          <cell r="D104">
            <v>14.6</v>
          </cell>
          <cell r="E104">
            <v>14.6</v>
          </cell>
          <cell r="F104">
            <v>14.6</v>
          </cell>
          <cell r="G104">
            <v>14.6</v>
          </cell>
          <cell r="H104">
            <v>14.6</v>
          </cell>
          <cell r="I104">
            <v>14.6</v>
          </cell>
          <cell r="J104">
            <v>14.6</v>
          </cell>
          <cell r="K104">
            <v>14.6</v>
          </cell>
          <cell r="L104">
            <v>14.6</v>
          </cell>
          <cell r="M104">
            <v>14.6</v>
          </cell>
          <cell r="N104">
            <v>14.6</v>
          </cell>
          <cell r="O104">
            <v>14.6</v>
          </cell>
          <cell r="P104">
            <v>14.6</v>
          </cell>
          <cell r="Q104">
            <v>14.6</v>
          </cell>
          <cell r="R104">
            <v>14.6</v>
          </cell>
          <cell r="S104">
            <v>14.6</v>
          </cell>
          <cell r="T104">
            <v>14.6</v>
          </cell>
          <cell r="AK104">
            <v>77</v>
          </cell>
          <cell r="AL104" t="str">
            <v>SÉRGIO DA SILVA</v>
          </cell>
        </row>
        <row r="105">
          <cell r="A105" t="str">
            <v>LYH-8295</v>
          </cell>
          <cell r="B105">
            <v>16</v>
          </cell>
          <cell r="C105">
            <v>16</v>
          </cell>
          <cell r="D105">
            <v>16</v>
          </cell>
          <cell r="E105">
            <v>16</v>
          </cell>
          <cell r="F105">
            <v>16</v>
          </cell>
          <cell r="G105">
            <v>16</v>
          </cell>
          <cell r="H105">
            <v>16</v>
          </cell>
          <cell r="I105">
            <v>16</v>
          </cell>
          <cell r="J105">
            <v>16</v>
          </cell>
          <cell r="K105">
            <v>16</v>
          </cell>
          <cell r="L105">
            <v>16</v>
          </cell>
          <cell r="M105">
            <v>16</v>
          </cell>
          <cell r="N105">
            <v>16</v>
          </cell>
          <cell r="O105">
            <v>16</v>
          </cell>
          <cell r="P105">
            <v>16</v>
          </cell>
          <cell r="Q105">
            <v>16</v>
          </cell>
          <cell r="R105">
            <v>16</v>
          </cell>
          <cell r="S105">
            <v>16</v>
          </cell>
          <cell r="T105">
            <v>16</v>
          </cell>
          <cell r="AK105">
            <v>85</v>
          </cell>
          <cell r="AL105" t="str">
            <v>VIVALDO MEDEIROS</v>
          </cell>
        </row>
        <row r="106">
          <cell r="A106" t="str">
            <v>ACX-5170</v>
          </cell>
          <cell r="B106">
            <v>15.5</v>
          </cell>
          <cell r="C106">
            <v>15.5</v>
          </cell>
          <cell r="D106">
            <v>15.5</v>
          </cell>
          <cell r="E106">
            <v>15.5</v>
          </cell>
          <cell r="F106">
            <v>15.5</v>
          </cell>
          <cell r="G106">
            <v>15.5</v>
          </cell>
          <cell r="H106">
            <v>15.5</v>
          </cell>
          <cell r="I106">
            <v>15.5</v>
          </cell>
          <cell r="J106">
            <v>15.5</v>
          </cell>
          <cell r="K106">
            <v>15.5</v>
          </cell>
          <cell r="L106">
            <v>15.5</v>
          </cell>
          <cell r="M106">
            <v>15.5</v>
          </cell>
          <cell r="N106">
            <v>15.5</v>
          </cell>
          <cell r="O106">
            <v>15.5</v>
          </cell>
          <cell r="P106">
            <v>15.5</v>
          </cell>
          <cell r="Q106">
            <v>15.5</v>
          </cell>
          <cell r="R106">
            <v>15.5</v>
          </cell>
          <cell r="S106">
            <v>15.5</v>
          </cell>
          <cell r="T106">
            <v>15.5</v>
          </cell>
          <cell r="AK106">
            <v>86</v>
          </cell>
          <cell r="AL106" t="str">
            <v>ENOCK ISMAEL DE SOUSA FILHO</v>
          </cell>
        </row>
        <row r="107">
          <cell r="A107" t="str">
            <v>BWB-0283</v>
          </cell>
          <cell r="B107">
            <v>12</v>
          </cell>
          <cell r="C107">
            <v>12</v>
          </cell>
          <cell r="D107">
            <v>12</v>
          </cell>
          <cell r="E107">
            <v>12</v>
          </cell>
          <cell r="F107">
            <v>12</v>
          </cell>
          <cell r="G107">
            <v>12</v>
          </cell>
          <cell r="H107">
            <v>12</v>
          </cell>
          <cell r="I107">
            <v>12</v>
          </cell>
          <cell r="J107">
            <v>12</v>
          </cell>
          <cell r="K107">
            <v>12</v>
          </cell>
          <cell r="L107">
            <v>12</v>
          </cell>
          <cell r="M107">
            <v>12</v>
          </cell>
          <cell r="N107">
            <v>12</v>
          </cell>
          <cell r="O107">
            <v>12</v>
          </cell>
          <cell r="P107">
            <v>12</v>
          </cell>
          <cell r="Q107">
            <v>12</v>
          </cell>
          <cell r="R107">
            <v>12</v>
          </cell>
          <cell r="S107">
            <v>12</v>
          </cell>
          <cell r="T107">
            <v>12</v>
          </cell>
          <cell r="AK107">
            <v>78</v>
          </cell>
          <cell r="AL107" t="str">
            <v>JOAQUIM LOPES DE MENEZES</v>
          </cell>
        </row>
        <row r="108">
          <cell r="A108" t="str">
            <v>BXF-3218</v>
          </cell>
          <cell r="B108">
            <v>13</v>
          </cell>
          <cell r="C108">
            <v>13</v>
          </cell>
          <cell r="D108">
            <v>13</v>
          </cell>
          <cell r="E108">
            <v>13</v>
          </cell>
          <cell r="F108">
            <v>13</v>
          </cell>
          <cell r="G108">
            <v>13</v>
          </cell>
          <cell r="H108">
            <v>13</v>
          </cell>
          <cell r="I108">
            <v>13</v>
          </cell>
          <cell r="J108">
            <v>13</v>
          </cell>
          <cell r="K108">
            <v>13</v>
          </cell>
          <cell r="L108">
            <v>13</v>
          </cell>
          <cell r="M108">
            <v>13</v>
          </cell>
          <cell r="N108">
            <v>13</v>
          </cell>
          <cell r="O108">
            <v>13</v>
          </cell>
          <cell r="P108">
            <v>13</v>
          </cell>
          <cell r="Q108">
            <v>13</v>
          </cell>
          <cell r="R108">
            <v>13</v>
          </cell>
          <cell r="S108">
            <v>13</v>
          </cell>
          <cell r="T108">
            <v>13</v>
          </cell>
          <cell r="AK108">
            <v>87</v>
          </cell>
          <cell r="AL108" t="str">
            <v>FRANCISCO HOLANDA DE ARAÚJO</v>
          </cell>
        </row>
        <row r="109">
          <cell r="A109" t="str">
            <v>HVB-5285</v>
          </cell>
          <cell r="B109">
            <v>12</v>
          </cell>
          <cell r="C109">
            <v>12</v>
          </cell>
          <cell r="D109">
            <v>12</v>
          </cell>
          <cell r="E109">
            <v>12</v>
          </cell>
          <cell r="F109">
            <v>12</v>
          </cell>
          <cell r="G109">
            <v>12</v>
          </cell>
          <cell r="H109">
            <v>12</v>
          </cell>
          <cell r="I109">
            <v>12</v>
          </cell>
          <cell r="J109">
            <v>12</v>
          </cell>
          <cell r="K109">
            <v>12</v>
          </cell>
          <cell r="L109">
            <v>12</v>
          </cell>
          <cell r="M109">
            <v>12</v>
          </cell>
          <cell r="N109">
            <v>12</v>
          </cell>
          <cell r="O109">
            <v>12</v>
          </cell>
          <cell r="P109">
            <v>12</v>
          </cell>
          <cell r="Q109">
            <v>12</v>
          </cell>
          <cell r="R109">
            <v>12</v>
          </cell>
          <cell r="S109">
            <v>12</v>
          </cell>
          <cell r="T109">
            <v>12</v>
          </cell>
          <cell r="AK109">
            <v>88</v>
          </cell>
          <cell r="AL109" t="str">
            <v>AMADEU GLADSTONE CATUNDA</v>
          </cell>
        </row>
        <row r="110">
          <cell r="A110" t="str">
            <v>HVJ-0126</v>
          </cell>
          <cell r="B110">
            <v>12.5</v>
          </cell>
          <cell r="C110">
            <v>12.5</v>
          </cell>
          <cell r="D110">
            <v>12.5</v>
          </cell>
          <cell r="E110">
            <v>12.5</v>
          </cell>
          <cell r="F110">
            <v>12.5</v>
          </cell>
          <cell r="G110">
            <v>12.5</v>
          </cell>
          <cell r="H110">
            <v>12.5</v>
          </cell>
          <cell r="I110">
            <v>12.5</v>
          </cell>
          <cell r="J110">
            <v>12.5</v>
          </cell>
          <cell r="K110">
            <v>12.5</v>
          </cell>
          <cell r="L110">
            <v>12.5</v>
          </cell>
          <cell r="M110">
            <v>12.5</v>
          </cell>
          <cell r="N110">
            <v>12.5</v>
          </cell>
          <cell r="O110">
            <v>12.5</v>
          </cell>
          <cell r="P110">
            <v>12.5</v>
          </cell>
          <cell r="Q110">
            <v>12.5</v>
          </cell>
          <cell r="R110">
            <v>12.5</v>
          </cell>
          <cell r="S110">
            <v>12.5</v>
          </cell>
          <cell r="T110">
            <v>12.5</v>
          </cell>
          <cell r="AK110">
            <v>89</v>
          </cell>
          <cell r="AL110" t="str">
            <v>LUCIANA LAVOR GAMA</v>
          </cell>
        </row>
        <row r="111">
          <cell r="A111" t="str">
            <v>MXJ-9307</v>
          </cell>
          <cell r="B111">
            <v>11.5</v>
          </cell>
          <cell r="C111">
            <v>11.5</v>
          </cell>
          <cell r="D111">
            <v>11.5</v>
          </cell>
          <cell r="E111">
            <v>11.5</v>
          </cell>
          <cell r="F111">
            <v>11.5</v>
          </cell>
          <cell r="G111">
            <v>11.5</v>
          </cell>
          <cell r="H111">
            <v>11.5</v>
          </cell>
          <cell r="I111">
            <v>11.5</v>
          </cell>
          <cell r="J111">
            <v>11.5</v>
          </cell>
          <cell r="K111">
            <v>11.5</v>
          </cell>
          <cell r="L111">
            <v>11.5</v>
          </cell>
          <cell r="M111">
            <v>11.5</v>
          </cell>
          <cell r="N111">
            <v>11.5</v>
          </cell>
          <cell r="O111">
            <v>11.5</v>
          </cell>
          <cell r="P111">
            <v>11.5</v>
          </cell>
          <cell r="Q111">
            <v>11.5</v>
          </cell>
          <cell r="R111">
            <v>11.5</v>
          </cell>
          <cell r="S111">
            <v>11.5</v>
          </cell>
          <cell r="T111">
            <v>11.5</v>
          </cell>
          <cell r="AK111">
            <v>90</v>
          </cell>
          <cell r="AL111" t="str">
            <v>JOSÉ MILTON TELES ALMEIDA</v>
          </cell>
        </row>
        <row r="112">
          <cell r="A112" t="str">
            <v>JMM-3329</v>
          </cell>
          <cell r="B112">
            <v>12</v>
          </cell>
          <cell r="C112">
            <v>12</v>
          </cell>
          <cell r="D112">
            <v>12</v>
          </cell>
          <cell r="E112">
            <v>12</v>
          </cell>
          <cell r="F112">
            <v>12</v>
          </cell>
          <cell r="G112">
            <v>12</v>
          </cell>
          <cell r="H112">
            <v>12</v>
          </cell>
          <cell r="I112">
            <v>12</v>
          </cell>
          <cell r="J112">
            <v>12</v>
          </cell>
          <cell r="K112">
            <v>12</v>
          </cell>
          <cell r="L112">
            <v>12</v>
          </cell>
          <cell r="M112">
            <v>12</v>
          </cell>
          <cell r="N112">
            <v>12</v>
          </cell>
          <cell r="O112">
            <v>12</v>
          </cell>
          <cell r="P112">
            <v>12</v>
          </cell>
          <cell r="Q112">
            <v>12</v>
          </cell>
          <cell r="R112">
            <v>12</v>
          </cell>
          <cell r="S112">
            <v>12</v>
          </cell>
          <cell r="T112">
            <v>12</v>
          </cell>
          <cell r="AK112" t="str">
            <v>106</v>
          </cell>
          <cell r="AL112" t="str">
            <v>RICARDO VALERIANO SERTÃO DA SILVA</v>
          </cell>
        </row>
        <row r="113">
          <cell r="A113" t="str">
            <v>KBH-6601</v>
          </cell>
          <cell r="B113">
            <v>15</v>
          </cell>
          <cell r="C113">
            <v>15</v>
          </cell>
          <cell r="D113">
            <v>15</v>
          </cell>
          <cell r="E113">
            <v>15</v>
          </cell>
          <cell r="F113">
            <v>15</v>
          </cell>
          <cell r="G113">
            <v>15</v>
          </cell>
          <cell r="H113">
            <v>15</v>
          </cell>
          <cell r="I113">
            <v>15</v>
          </cell>
          <cell r="J113">
            <v>15</v>
          </cell>
          <cell r="K113">
            <v>15</v>
          </cell>
          <cell r="L113">
            <v>15</v>
          </cell>
          <cell r="M113">
            <v>15</v>
          </cell>
          <cell r="N113">
            <v>15</v>
          </cell>
          <cell r="O113">
            <v>15</v>
          </cell>
          <cell r="P113">
            <v>15</v>
          </cell>
          <cell r="Q113">
            <v>15</v>
          </cell>
          <cell r="R113">
            <v>15</v>
          </cell>
          <cell r="S113">
            <v>15</v>
          </cell>
          <cell r="T113">
            <v>15</v>
          </cell>
          <cell r="AK113" t="str">
            <v>92</v>
          </cell>
          <cell r="AL113" t="str">
            <v>ELIO PIRES REGO</v>
          </cell>
        </row>
        <row r="114">
          <cell r="A114" t="str">
            <v>LXY-3210</v>
          </cell>
          <cell r="B114">
            <v>12.3</v>
          </cell>
          <cell r="C114">
            <v>12.3</v>
          </cell>
          <cell r="D114">
            <v>12.3</v>
          </cell>
          <cell r="E114">
            <v>12.3</v>
          </cell>
          <cell r="F114">
            <v>12.3</v>
          </cell>
          <cell r="G114">
            <v>12.3</v>
          </cell>
          <cell r="H114">
            <v>12.3</v>
          </cell>
          <cell r="I114">
            <v>12.3</v>
          </cell>
          <cell r="J114">
            <v>12.3</v>
          </cell>
          <cell r="K114">
            <v>12.3</v>
          </cell>
          <cell r="L114">
            <v>12.3</v>
          </cell>
          <cell r="M114">
            <v>12.3</v>
          </cell>
          <cell r="N114">
            <v>12.3</v>
          </cell>
          <cell r="O114">
            <v>12.3</v>
          </cell>
          <cell r="P114">
            <v>12.3</v>
          </cell>
          <cell r="Q114">
            <v>12.3</v>
          </cell>
          <cell r="R114">
            <v>12.3</v>
          </cell>
          <cell r="S114">
            <v>12.3</v>
          </cell>
          <cell r="T114">
            <v>12.3</v>
          </cell>
          <cell r="AK114">
            <v>13</v>
          </cell>
          <cell r="AL114" t="str">
            <v>JOÃO SOARES MACHADO</v>
          </cell>
        </row>
        <row r="115">
          <cell r="A115" t="str">
            <v>AAU-3946</v>
          </cell>
          <cell r="B115">
            <v>14.5</v>
          </cell>
          <cell r="C115">
            <v>14.5</v>
          </cell>
          <cell r="D115">
            <v>14.5</v>
          </cell>
          <cell r="E115">
            <v>14.5</v>
          </cell>
          <cell r="F115">
            <v>14.5</v>
          </cell>
          <cell r="G115">
            <v>14.5</v>
          </cell>
          <cell r="H115">
            <v>14.5</v>
          </cell>
          <cell r="I115">
            <v>14.5</v>
          </cell>
          <cell r="J115">
            <v>14.5</v>
          </cell>
          <cell r="K115">
            <v>14.5</v>
          </cell>
          <cell r="L115">
            <v>14.5</v>
          </cell>
          <cell r="M115">
            <v>14.5</v>
          </cell>
          <cell r="N115">
            <v>14.5</v>
          </cell>
          <cell r="O115">
            <v>14.5</v>
          </cell>
          <cell r="P115">
            <v>14.5</v>
          </cell>
          <cell r="Q115">
            <v>14.5</v>
          </cell>
          <cell r="R115">
            <v>14.5</v>
          </cell>
          <cell r="S115">
            <v>14.5</v>
          </cell>
          <cell r="T115">
            <v>14.5</v>
          </cell>
          <cell r="AK115" t="str">
            <v>94</v>
          </cell>
          <cell r="AL115" t="str">
            <v>RAIMUNDO MARTINS DE SOUZA</v>
          </cell>
        </row>
        <row r="116">
          <cell r="A116" t="str">
            <v>JLD-9831</v>
          </cell>
          <cell r="B116">
            <v>17</v>
          </cell>
          <cell r="C116">
            <v>17</v>
          </cell>
          <cell r="D116">
            <v>17</v>
          </cell>
          <cell r="E116">
            <v>17</v>
          </cell>
          <cell r="F116">
            <v>17</v>
          </cell>
          <cell r="G116">
            <v>17</v>
          </cell>
          <cell r="H116">
            <v>17</v>
          </cell>
          <cell r="I116">
            <v>17</v>
          </cell>
          <cell r="J116">
            <v>17</v>
          </cell>
          <cell r="K116">
            <v>17</v>
          </cell>
          <cell r="L116">
            <v>17</v>
          </cell>
          <cell r="M116">
            <v>17</v>
          </cell>
          <cell r="N116">
            <v>17</v>
          </cell>
          <cell r="O116">
            <v>17</v>
          </cell>
          <cell r="P116">
            <v>17</v>
          </cell>
          <cell r="Q116">
            <v>17</v>
          </cell>
          <cell r="R116">
            <v>17</v>
          </cell>
          <cell r="S116">
            <v>17</v>
          </cell>
          <cell r="T116">
            <v>17</v>
          </cell>
          <cell r="AK116">
            <v>91</v>
          </cell>
          <cell r="AL116" t="str">
            <v>CARLOS ANTONIO RODRIGUES DA SILVA</v>
          </cell>
        </row>
        <row r="117">
          <cell r="A117" t="str">
            <v>GL-8224</v>
          </cell>
          <cell r="B117">
            <v>13</v>
          </cell>
          <cell r="C117">
            <v>13</v>
          </cell>
          <cell r="D117">
            <v>13</v>
          </cell>
          <cell r="E117">
            <v>13</v>
          </cell>
          <cell r="F117">
            <v>13</v>
          </cell>
          <cell r="G117">
            <v>13</v>
          </cell>
          <cell r="H117">
            <v>13</v>
          </cell>
          <cell r="I117">
            <v>13</v>
          </cell>
          <cell r="J117">
            <v>13</v>
          </cell>
          <cell r="K117">
            <v>13</v>
          </cell>
          <cell r="L117">
            <v>13</v>
          </cell>
          <cell r="M117">
            <v>13</v>
          </cell>
          <cell r="N117">
            <v>13</v>
          </cell>
          <cell r="O117">
            <v>13</v>
          </cell>
          <cell r="P117">
            <v>13</v>
          </cell>
          <cell r="Q117">
            <v>13</v>
          </cell>
          <cell r="R117">
            <v>13</v>
          </cell>
          <cell r="S117">
            <v>13</v>
          </cell>
          <cell r="T117">
            <v>13</v>
          </cell>
          <cell r="AK117" t="str">
            <v>107</v>
          </cell>
          <cell r="AL117" t="str">
            <v>VITOR PINHEIRO DOS SANTOS</v>
          </cell>
        </row>
        <row r="118">
          <cell r="A118" t="str">
            <v>HVN-0311</v>
          </cell>
          <cell r="B118">
            <v>12</v>
          </cell>
          <cell r="C118">
            <v>12</v>
          </cell>
          <cell r="D118">
            <v>12</v>
          </cell>
          <cell r="E118">
            <v>12</v>
          </cell>
          <cell r="F118">
            <v>12</v>
          </cell>
          <cell r="G118">
            <v>12</v>
          </cell>
          <cell r="H118">
            <v>12</v>
          </cell>
          <cell r="I118">
            <v>12</v>
          </cell>
          <cell r="J118">
            <v>12</v>
          </cell>
          <cell r="K118">
            <v>12</v>
          </cell>
          <cell r="L118">
            <v>12</v>
          </cell>
          <cell r="M118">
            <v>12</v>
          </cell>
          <cell r="N118">
            <v>12</v>
          </cell>
          <cell r="O118">
            <v>12</v>
          </cell>
          <cell r="P118">
            <v>12</v>
          </cell>
          <cell r="Q118">
            <v>12</v>
          </cell>
          <cell r="R118">
            <v>12</v>
          </cell>
          <cell r="S118">
            <v>12</v>
          </cell>
          <cell r="T118">
            <v>12</v>
          </cell>
          <cell r="AK118" t="str">
            <v>96</v>
          </cell>
          <cell r="AL118" t="str">
            <v>FRANCISCO CLAÚDIO NOGUEIRA MOURÃO</v>
          </cell>
        </row>
        <row r="119">
          <cell r="A119" t="str">
            <v>HVB-9938</v>
          </cell>
          <cell r="B119">
            <v>12</v>
          </cell>
          <cell r="C119">
            <v>12</v>
          </cell>
          <cell r="D119">
            <v>12</v>
          </cell>
          <cell r="E119">
            <v>12</v>
          </cell>
          <cell r="F119">
            <v>12</v>
          </cell>
          <cell r="G119">
            <v>12</v>
          </cell>
          <cell r="H119">
            <v>12</v>
          </cell>
          <cell r="I119">
            <v>12</v>
          </cell>
          <cell r="J119">
            <v>12</v>
          </cell>
          <cell r="K119">
            <v>12</v>
          </cell>
          <cell r="L119">
            <v>12</v>
          </cell>
          <cell r="M119">
            <v>12</v>
          </cell>
          <cell r="N119">
            <v>12</v>
          </cell>
          <cell r="O119">
            <v>12</v>
          </cell>
          <cell r="P119">
            <v>12</v>
          </cell>
          <cell r="Q119">
            <v>12</v>
          </cell>
          <cell r="R119">
            <v>12</v>
          </cell>
          <cell r="S119">
            <v>12</v>
          </cell>
          <cell r="T119">
            <v>12</v>
          </cell>
          <cell r="AK119" t="str">
            <v>96</v>
          </cell>
          <cell r="AL119" t="str">
            <v>FRANCISCO CLAÚDIO NOGUEIRA MOURÃO</v>
          </cell>
        </row>
        <row r="120">
          <cell r="A120" t="str">
            <v>HVJ-0766</v>
          </cell>
          <cell r="B120">
            <v>12</v>
          </cell>
          <cell r="C120">
            <v>12</v>
          </cell>
          <cell r="D120">
            <v>12</v>
          </cell>
          <cell r="E120">
            <v>12</v>
          </cell>
          <cell r="F120">
            <v>12</v>
          </cell>
          <cell r="G120">
            <v>12</v>
          </cell>
          <cell r="H120">
            <v>12</v>
          </cell>
          <cell r="I120">
            <v>12</v>
          </cell>
          <cell r="J120">
            <v>12</v>
          </cell>
          <cell r="K120">
            <v>12</v>
          </cell>
          <cell r="L120">
            <v>12</v>
          </cell>
          <cell r="M120">
            <v>12</v>
          </cell>
          <cell r="N120">
            <v>12</v>
          </cell>
          <cell r="O120">
            <v>12</v>
          </cell>
          <cell r="P120">
            <v>12</v>
          </cell>
          <cell r="Q120">
            <v>12</v>
          </cell>
          <cell r="R120">
            <v>12</v>
          </cell>
          <cell r="S120">
            <v>12</v>
          </cell>
          <cell r="T120">
            <v>12</v>
          </cell>
          <cell r="AK120" t="str">
            <v>97</v>
          </cell>
          <cell r="AL120" t="str">
            <v>JOÃO BATISTA GAMA</v>
          </cell>
        </row>
        <row r="121">
          <cell r="A121" t="str">
            <v>HVB-5689</v>
          </cell>
          <cell r="B121">
            <v>11</v>
          </cell>
          <cell r="C121">
            <v>11</v>
          </cell>
          <cell r="D121">
            <v>11</v>
          </cell>
          <cell r="E121">
            <v>11</v>
          </cell>
          <cell r="F121">
            <v>11</v>
          </cell>
          <cell r="G121">
            <v>11</v>
          </cell>
          <cell r="H121">
            <v>11</v>
          </cell>
          <cell r="I121">
            <v>11</v>
          </cell>
          <cell r="J121">
            <v>11</v>
          </cell>
          <cell r="K121">
            <v>11</v>
          </cell>
          <cell r="L121">
            <v>11</v>
          </cell>
          <cell r="M121">
            <v>11</v>
          </cell>
          <cell r="N121">
            <v>11</v>
          </cell>
          <cell r="O121">
            <v>11</v>
          </cell>
          <cell r="P121">
            <v>11</v>
          </cell>
          <cell r="Q121">
            <v>11</v>
          </cell>
          <cell r="R121">
            <v>11</v>
          </cell>
          <cell r="S121">
            <v>11</v>
          </cell>
          <cell r="T121">
            <v>11</v>
          </cell>
          <cell r="AK121" t="str">
            <v>90</v>
          </cell>
          <cell r="AL121" t="str">
            <v>JOSÉ MILTON TELES ALMEIDA</v>
          </cell>
        </row>
        <row r="122">
          <cell r="A122" t="str">
            <v>HTY-2198</v>
          </cell>
          <cell r="B122">
            <v>11</v>
          </cell>
          <cell r="C122">
            <v>11</v>
          </cell>
          <cell r="D122">
            <v>11</v>
          </cell>
          <cell r="E122">
            <v>11</v>
          </cell>
          <cell r="F122">
            <v>11</v>
          </cell>
          <cell r="G122">
            <v>11</v>
          </cell>
          <cell r="H122">
            <v>11</v>
          </cell>
          <cell r="I122">
            <v>11</v>
          </cell>
          <cell r="J122">
            <v>11</v>
          </cell>
          <cell r="K122">
            <v>11</v>
          </cell>
          <cell r="L122">
            <v>11</v>
          </cell>
          <cell r="M122">
            <v>11</v>
          </cell>
          <cell r="N122">
            <v>11</v>
          </cell>
          <cell r="O122">
            <v>11</v>
          </cell>
          <cell r="P122">
            <v>11</v>
          </cell>
          <cell r="Q122">
            <v>11</v>
          </cell>
          <cell r="R122">
            <v>11</v>
          </cell>
          <cell r="S122">
            <v>11</v>
          </cell>
          <cell r="T122">
            <v>11</v>
          </cell>
          <cell r="AK122">
            <v>98</v>
          </cell>
          <cell r="AL122" t="str">
            <v>LUIZ CARLOS CARMO LOPES</v>
          </cell>
        </row>
        <row r="123">
          <cell r="A123" t="str">
            <v>XI-3800</v>
          </cell>
          <cell r="B123">
            <v>12</v>
          </cell>
          <cell r="C123">
            <v>12</v>
          </cell>
          <cell r="D123">
            <v>12</v>
          </cell>
          <cell r="E123">
            <v>12</v>
          </cell>
          <cell r="F123">
            <v>12</v>
          </cell>
          <cell r="G123">
            <v>12</v>
          </cell>
          <cell r="H123">
            <v>12</v>
          </cell>
          <cell r="I123">
            <v>12</v>
          </cell>
          <cell r="J123">
            <v>12</v>
          </cell>
          <cell r="K123">
            <v>12</v>
          </cell>
          <cell r="L123">
            <v>12</v>
          </cell>
          <cell r="M123">
            <v>12</v>
          </cell>
          <cell r="N123">
            <v>12</v>
          </cell>
          <cell r="O123">
            <v>12</v>
          </cell>
          <cell r="P123">
            <v>12</v>
          </cell>
          <cell r="Q123">
            <v>12</v>
          </cell>
          <cell r="R123">
            <v>12</v>
          </cell>
          <cell r="S123">
            <v>12</v>
          </cell>
          <cell r="T123">
            <v>12</v>
          </cell>
          <cell r="AK123">
            <v>67</v>
          </cell>
          <cell r="AL123" t="str">
            <v>EINSTEIN MENDONÇA DE OLIVEIRA</v>
          </cell>
        </row>
        <row r="124">
          <cell r="A124" t="str">
            <v>HVN-0641</v>
          </cell>
          <cell r="B124">
            <v>12</v>
          </cell>
          <cell r="C124">
            <v>12</v>
          </cell>
          <cell r="D124">
            <v>12</v>
          </cell>
          <cell r="E124">
            <v>12</v>
          </cell>
          <cell r="F124">
            <v>12</v>
          </cell>
          <cell r="G124">
            <v>12</v>
          </cell>
          <cell r="H124">
            <v>12</v>
          </cell>
          <cell r="I124">
            <v>12</v>
          </cell>
          <cell r="J124">
            <v>12</v>
          </cell>
          <cell r="K124">
            <v>12</v>
          </cell>
          <cell r="L124">
            <v>12</v>
          </cell>
          <cell r="M124">
            <v>12</v>
          </cell>
          <cell r="N124">
            <v>12</v>
          </cell>
          <cell r="O124">
            <v>12</v>
          </cell>
          <cell r="P124">
            <v>12</v>
          </cell>
          <cell r="Q124">
            <v>12</v>
          </cell>
          <cell r="R124">
            <v>12</v>
          </cell>
          <cell r="S124">
            <v>12</v>
          </cell>
          <cell r="T124">
            <v>12</v>
          </cell>
          <cell r="AK124">
            <v>99</v>
          </cell>
          <cell r="AL124" t="str">
            <v>LUIZ CARLOS VIEIRA MARIANO</v>
          </cell>
        </row>
        <row r="125">
          <cell r="A125" t="str">
            <v>HUA-1990</v>
          </cell>
          <cell r="B125">
            <v>12.5</v>
          </cell>
          <cell r="C125">
            <v>12.5</v>
          </cell>
          <cell r="D125">
            <v>12.5</v>
          </cell>
          <cell r="E125">
            <v>12.5</v>
          </cell>
          <cell r="F125">
            <v>12.5</v>
          </cell>
          <cell r="G125">
            <v>12.5</v>
          </cell>
          <cell r="H125">
            <v>12.5</v>
          </cell>
          <cell r="I125">
            <v>12.5</v>
          </cell>
          <cell r="J125">
            <v>12.5</v>
          </cell>
          <cell r="K125">
            <v>12.5</v>
          </cell>
          <cell r="L125">
            <v>12.5</v>
          </cell>
          <cell r="M125">
            <v>12.5</v>
          </cell>
          <cell r="N125">
            <v>12.5</v>
          </cell>
          <cell r="O125">
            <v>12.5</v>
          </cell>
          <cell r="P125">
            <v>12.5</v>
          </cell>
          <cell r="Q125">
            <v>12.5</v>
          </cell>
          <cell r="R125">
            <v>12.5</v>
          </cell>
          <cell r="S125">
            <v>12.5</v>
          </cell>
          <cell r="T125">
            <v>12.5</v>
          </cell>
          <cell r="AK125">
            <v>63</v>
          </cell>
          <cell r="AL125" t="str">
            <v>JOSÉ IVANILDO MIRANDA MATOS</v>
          </cell>
        </row>
        <row r="126">
          <cell r="A126" t="str">
            <v>HVJ-0746</v>
          </cell>
          <cell r="B126">
            <v>12.5</v>
          </cell>
          <cell r="C126">
            <v>12.5</v>
          </cell>
          <cell r="D126">
            <v>12.5</v>
          </cell>
          <cell r="E126">
            <v>12.5</v>
          </cell>
          <cell r="F126">
            <v>12.5</v>
          </cell>
          <cell r="G126">
            <v>12.5</v>
          </cell>
          <cell r="H126">
            <v>12.5</v>
          </cell>
          <cell r="I126">
            <v>12.5</v>
          </cell>
          <cell r="J126">
            <v>12.5</v>
          </cell>
          <cell r="K126">
            <v>12.5</v>
          </cell>
          <cell r="L126">
            <v>12.5</v>
          </cell>
          <cell r="M126">
            <v>12.5</v>
          </cell>
          <cell r="N126">
            <v>12.5</v>
          </cell>
          <cell r="O126">
            <v>12.5</v>
          </cell>
          <cell r="P126">
            <v>12.5</v>
          </cell>
          <cell r="Q126">
            <v>12.5</v>
          </cell>
          <cell r="R126">
            <v>12.5</v>
          </cell>
          <cell r="S126">
            <v>12.5</v>
          </cell>
          <cell r="T126">
            <v>12.5</v>
          </cell>
          <cell r="AK126">
            <v>100</v>
          </cell>
          <cell r="AL126" t="str">
            <v>LUCIMAR LAVOR GAMA</v>
          </cell>
        </row>
        <row r="127">
          <cell r="A127" t="str">
            <v>JMD-9212</v>
          </cell>
          <cell r="B127">
            <v>17</v>
          </cell>
          <cell r="C127">
            <v>17</v>
          </cell>
          <cell r="D127">
            <v>17</v>
          </cell>
          <cell r="E127">
            <v>17</v>
          </cell>
          <cell r="F127">
            <v>17</v>
          </cell>
          <cell r="G127">
            <v>17</v>
          </cell>
          <cell r="H127">
            <v>17</v>
          </cell>
          <cell r="I127">
            <v>17</v>
          </cell>
          <cell r="J127">
            <v>17</v>
          </cell>
          <cell r="K127">
            <v>17</v>
          </cell>
          <cell r="L127">
            <v>17</v>
          </cell>
          <cell r="M127">
            <v>17</v>
          </cell>
          <cell r="N127">
            <v>17</v>
          </cell>
          <cell r="O127">
            <v>17</v>
          </cell>
          <cell r="P127">
            <v>17</v>
          </cell>
          <cell r="Q127">
            <v>17</v>
          </cell>
          <cell r="R127">
            <v>17</v>
          </cell>
          <cell r="S127">
            <v>17</v>
          </cell>
          <cell r="T127">
            <v>17</v>
          </cell>
          <cell r="AK127" t="str">
            <v>105</v>
          </cell>
          <cell r="AL127" t="str">
            <v>VALDIR RODRIGUES FILHO</v>
          </cell>
        </row>
        <row r="128">
          <cell r="A128" t="str">
            <v>JLP-7168</v>
          </cell>
          <cell r="B128">
            <v>13</v>
          </cell>
          <cell r="C128">
            <v>13</v>
          </cell>
          <cell r="D128">
            <v>13</v>
          </cell>
          <cell r="E128">
            <v>13</v>
          </cell>
          <cell r="F128">
            <v>13</v>
          </cell>
          <cell r="G128">
            <v>13</v>
          </cell>
          <cell r="H128">
            <v>13</v>
          </cell>
          <cell r="I128">
            <v>13</v>
          </cell>
          <cell r="J128">
            <v>13</v>
          </cell>
          <cell r="K128">
            <v>13</v>
          </cell>
          <cell r="L128">
            <v>13</v>
          </cell>
          <cell r="M128">
            <v>13</v>
          </cell>
          <cell r="N128">
            <v>13</v>
          </cell>
          <cell r="O128">
            <v>13</v>
          </cell>
          <cell r="P128">
            <v>13</v>
          </cell>
          <cell r="Q128">
            <v>13</v>
          </cell>
          <cell r="R128">
            <v>13</v>
          </cell>
          <cell r="S128">
            <v>13</v>
          </cell>
          <cell r="T128">
            <v>13</v>
          </cell>
          <cell r="AK128">
            <v>101</v>
          </cell>
          <cell r="AL128" t="str">
            <v>JOSE CARLOS ALVES FERNANDES</v>
          </cell>
        </row>
        <row r="129">
          <cell r="A129" t="str">
            <v>CLK-1061</v>
          </cell>
          <cell r="B129">
            <v>12</v>
          </cell>
          <cell r="C129">
            <v>12</v>
          </cell>
          <cell r="D129">
            <v>12</v>
          </cell>
          <cell r="E129">
            <v>12</v>
          </cell>
          <cell r="F129">
            <v>12</v>
          </cell>
          <cell r="G129">
            <v>12</v>
          </cell>
          <cell r="H129">
            <v>12</v>
          </cell>
          <cell r="I129">
            <v>12</v>
          </cell>
          <cell r="J129">
            <v>12</v>
          </cell>
          <cell r="K129">
            <v>12</v>
          </cell>
          <cell r="L129">
            <v>12</v>
          </cell>
          <cell r="M129">
            <v>12</v>
          </cell>
          <cell r="N129">
            <v>12</v>
          </cell>
          <cell r="O129">
            <v>12</v>
          </cell>
          <cell r="P129">
            <v>12</v>
          </cell>
          <cell r="Q129">
            <v>12</v>
          </cell>
          <cell r="R129">
            <v>12</v>
          </cell>
          <cell r="S129">
            <v>12</v>
          </cell>
          <cell r="T129">
            <v>12</v>
          </cell>
          <cell r="AK129">
            <v>101</v>
          </cell>
          <cell r="AL129" t="str">
            <v>JOSE CARLOS ALVES FERNANDES</v>
          </cell>
        </row>
        <row r="130">
          <cell r="A130" t="str">
            <v>JOD-0256</v>
          </cell>
          <cell r="B130">
            <v>12.5</v>
          </cell>
          <cell r="C130">
            <v>12.5</v>
          </cell>
          <cell r="D130">
            <v>12.5</v>
          </cell>
          <cell r="E130">
            <v>12.5</v>
          </cell>
          <cell r="F130">
            <v>12.5</v>
          </cell>
          <cell r="G130">
            <v>12.5</v>
          </cell>
          <cell r="H130">
            <v>12.5</v>
          </cell>
          <cell r="I130">
            <v>12.5</v>
          </cell>
          <cell r="J130">
            <v>12.5</v>
          </cell>
          <cell r="K130">
            <v>12.5</v>
          </cell>
          <cell r="L130">
            <v>12.5</v>
          </cell>
          <cell r="M130">
            <v>12.5</v>
          </cell>
          <cell r="N130">
            <v>12.5</v>
          </cell>
          <cell r="O130">
            <v>12.5</v>
          </cell>
          <cell r="P130">
            <v>12.5</v>
          </cell>
          <cell r="Q130">
            <v>12.5</v>
          </cell>
          <cell r="R130">
            <v>12.5</v>
          </cell>
          <cell r="S130">
            <v>12.5</v>
          </cell>
          <cell r="T130">
            <v>12.5</v>
          </cell>
          <cell r="AK130">
            <v>103</v>
          </cell>
          <cell r="AL130" t="str">
            <v>VIVALDO MEDEIROS</v>
          </cell>
        </row>
        <row r="131">
          <cell r="A131" t="str">
            <v>TA-5352</v>
          </cell>
          <cell r="B131">
            <v>16.5</v>
          </cell>
          <cell r="C131">
            <v>16.5</v>
          </cell>
          <cell r="D131">
            <v>16.5</v>
          </cell>
          <cell r="E131">
            <v>16.5</v>
          </cell>
          <cell r="F131">
            <v>16.5</v>
          </cell>
          <cell r="G131">
            <v>16.5</v>
          </cell>
          <cell r="H131">
            <v>16.5</v>
          </cell>
          <cell r="I131">
            <v>16.5</v>
          </cell>
          <cell r="J131">
            <v>16.5</v>
          </cell>
          <cell r="K131">
            <v>16.5</v>
          </cell>
          <cell r="L131">
            <v>16.5</v>
          </cell>
          <cell r="M131">
            <v>16.5</v>
          </cell>
          <cell r="N131">
            <v>16.5</v>
          </cell>
          <cell r="O131">
            <v>16.5</v>
          </cell>
          <cell r="P131">
            <v>16.5</v>
          </cell>
          <cell r="Q131">
            <v>16.5</v>
          </cell>
          <cell r="R131">
            <v>16.5</v>
          </cell>
          <cell r="S131">
            <v>16.5</v>
          </cell>
          <cell r="T131">
            <v>16.5</v>
          </cell>
          <cell r="AK131" t="str">
            <v>104</v>
          </cell>
          <cell r="AL131" t="str">
            <v>SANTINO ALVES MARTINS</v>
          </cell>
        </row>
        <row r="132">
          <cell r="A132" t="str">
            <v>HUH-4532</v>
          </cell>
          <cell r="B132">
            <v>13</v>
          </cell>
          <cell r="C132">
            <v>13</v>
          </cell>
          <cell r="D132">
            <v>13</v>
          </cell>
          <cell r="E132">
            <v>13</v>
          </cell>
          <cell r="F132">
            <v>13</v>
          </cell>
          <cell r="G132">
            <v>13</v>
          </cell>
          <cell r="H132">
            <v>13</v>
          </cell>
          <cell r="I132">
            <v>13</v>
          </cell>
          <cell r="J132">
            <v>13</v>
          </cell>
          <cell r="K132">
            <v>13</v>
          </cell>
          <cell r="L132">
            <v>13</v>
          </cell>
          <cell r="M132">
            <v>13</v>
          </cell>
          <cell r="N132">
            <v>13</v>
          </cell>
          <cell r="O132">
            <v>13</v>
          </cell>
          <cell r="P132">
            <v>13</v>
          </cell>
          <cell r="Q132">
            <v>13</v>
          </cell>
          <cell r="R132">
            <v>13</v>
          </cell>
          <cell r="S132">
            <v>13</v>
          </cell>
          <cell r="T132">
            <v>13</v>
          </cell>
          <cell r="AK132">
            <v>78</v>
          </cell>
          <cell r="AL132" t="str">
            <v>JOAQUIM LOPES DE MENEZES</v>
          </cell>
        </row>
      </sheetData>
      <sheetData sheetId="4"/>
      <sheetData sheetId="5"/>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1"/>
      <sheetName val="COMPOS2"/>
      <sheetName val="COMPOS3"/>
      <sheetName val="1- QUADRO DE QUANTIDADE (2)"/>
      <sheetName val="Pato"/>
      <sheetName val="Transporte 5m³"/>
      <sheetName val="Transporte 4m³"/>
      <sheetName val="Transporte 4t"/>
      <sheetName val="Transporte Mat. Frio"/>
      <sheetName val="Cronograma (2)"/>
      <sheetName val="ESTUDO PREÇ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O"/>
      <sheetName val="Transp com"/>
      <sheetName val="Transp carro"/>
      <sheetName val="Transp esp"/>
      <sheetName val="CRONOGRAMA"/>
      <sheetName val="Gráfico"/>
      <sheetName val="MÃO DE OBRA"/>
      <sheetName val="EQP2"/>
      <sheetName val="02.200.00"/>
      <sheetName val="02.400.00"/>
      <sheetName val="02.530.01"/>
      <sheetName val="03.329.00"/>
      <sheetName val="03.370.00"/>
      <sheetName val="03.940.00"/>
      <sheetName val="04.000.00"/>
      <sheetName val="08.100.00"/>
      <sheetName val="08.101.01"/>
      <sheetName val="08.103.00"/>
      <sheetName val="08.109.00"/>
      <sheetName val="08.300.01"/>
      <sheetName val="08.301.02"/>
      <sheetName val="08.302.01"/>
      <sheetName val="08.302.02"/>
      <sheetName val="08.402.00"/>
      <sheetName val="08.404.00"/>
      <sheetName val="08.409.01"/>
      <sheetName val="08.500.00"/>
      <sheetName val="08.510.00"/>
      <sheetName val="08.900.00"/>
      <sheetName val="08.910.00"/>
      <sheetName val="09.002.00"/>
      <sheetName val="09.002.01"/>
      <sheetName val="09.002.03"/>
      <sheetName val="E.4.12"/>
      <sheetName val="01.200.00"/>
      <sheetName val="09.517.00"/>
      <sheetName val="09.517.02"/>
      <sheetName val="09.512.13"/>
      <sheetName val="09.512.14"/>
      <sheetName val="09.517.03"/>
      <sheetName val="Simulação"/>
      <sheetName val="Resumo"/>
      <sheetName val="EQUIPAMENTO"/>
      <sheetName val="MATERIAL"/>
    </sheetNames>
    <sheetDataSet>
      <sheetData sheetId="0">
        <row r="11">
          <cell r="A11" t="str">
            <v>02.200.00</v>
          </cell>
          <cell r="B11" t="str">
            <v>SOLO P/BASE DE REMENDO PROFUNDO</v>
          </cell>
          <cell r="D11">
            <v>1021.44</v>
          </cell>
          <cell r="E11" t="str">
            <v>m3</v>
          </cell>
          <cell r="F11">
            <v>1</v>
          </cell>
          <cell r="G11" t="str">
            <v>m3/m3</v>
          </cell>
          <cell r="H11">
            <v>1021.44</v>
          </cell>
          <cell r="I11">
            <v>3.4</v>
          </cell>
          <cell r="J11">
            <v>3472.9</v>
          </cell>
        </row>
        <row r="12">
          <cell r="A12" t="str">
            <v>02.400.00</v>
          </cell>
          <cell r="B12" t="str">
            <v>PINTURA DE LIGAÇÃO</v>
          </cell>
          <cell r="D12">
            <v>77824</v>
          </cell>
          <cell r="E12" t="str">
            <v>m2</v>
          </cell>
          <cell r="F12">
            <v>1</v>
          </cell>
          <cell r="G12" t="str">
            <v>m2/m2</v>
          </cell>
          <cell r="H12">
            <v>77824</v>
          </cell>
          <cell r="I12">
            <v>0.65</v>
          </cell>
          <cell r="J12">
            <v>50585.599999999999</v>
          </cell>
        </row>
        <row r="13">
          <cell r="A13" t="str">
            <v>02.530.01</v>
          </cell>
          <cell r="B13" t="str">
            <v>MISTURA BETUMINOSA USINADO A FRIO</v>
          </cell>
          <cell r="D13">
            <v>5970.5599999999995</v>
          </cell>
          <cell r="E13" t="str">
            <v>m3</v>
          </cell>
          <cell r="F13">
            <v>1</v>
          </cell>
          <cell r="G13" t="str">
            <v>m3/m3</v>
          </cell>
          <cell r="H13">
            <v>5970.5599999999995</v>
          </cell>
          <cell r="I13">
            <v>209.26</v>
          </cell>
          <cell r="J13">
            <v>1249399.3899999999</v>
          </cell>
        </row>
        <row r="14">
          <cell r="A14" t="str">
            <v>03.329.00</v>
          </cell>
          <cell r="B14" t="str">
            <v>CONCRETO DE CIMENTO PORTLAND</v>
          </cell>
          <cell r="D14">
            <v>300</v>
          </cell>
          <cell r="E14" t="str">
            <v>m</v>
          </cell>
          <cell r="F14">
            <v>5.5E-2</v>
          </cell>
          <cell r="G14" t="str">
            <v>m3/m</v>
          </cell>
          <cell r="H14">
            <v>16.5</v>
          </cell>
          <cell r="I14">
            <v>123.85000000000001</v>
          </cell>
          <cell r="J14">
            <v>2043.53</v>
          </cell>
        </row>
        <row r="15">
          <cell r="A15" t="str">
            <v>03.370.00</v>
          </cell>
          <cell r="B15" t="str">
            <v>FORMAS</v>
          </cell>
          <cell r="D15">
            <v>300</v>
          </cell>
          <cell r="E15" t="str">
            <v>m</v>
          </cell>
          <cell r="F15">
            <v>0.6</v>
          </cell>
          <cell r="G15" t="str">
            <v>m2/m</v>
          </cell>
          <cell r="H15">
            <v>180</v>
          </cell>
          <cell r="I15">
            <v>23.6</v>
          </cell>
          <cell r="J15">
            <v>4248</v>
          </cell>
        </row>
        <row r="16">
          <cell r="A16" t="str">
            <v>03.940.00</v>
          </cell>
          <cell r="B16" t="str">
            <v>REATERRO APILOADO</v>
          </cell>
          <cell r="D16">
            <v>300</v>
          </cell>
          <cell r="E16" t="str">
            <v>m</v>
          </cell>
          <cell r="F16">
            <v>7.4999999999999997E-3</v>
          </cell>
          <cell r="G16" t="str">
            <v>m3/m</v>
          </cell>
          <cell r="H16">
            <v>2.25</v>
          </cell>
          <cell r="I16">
            <v>3.95</v>
          </cell>
          <cell r="J16">
            <v>8.89</v>
          </cell>
        </row>
        <row r="17">
          <cell r="A17" t="str">
            <v>04.000.00</v>
          </cell>
          <cell r="B17" t="str">
            <v>ESCAVAÇÃO MANUAL</v>
          </cell>
          <cell r="D17">
            <v>300</v>
          </cell>
          <cell r="E17" t="str">
            <v>m</v>
          </cell>
          <cell r="F17">
            <v>0.11899999999999999</v>
          </cell>
          <cell r="G17" t="str">
            <v>m3/m</v>
          </cell>
          <cell r="H17">
            <v>35.700000000000003</v>
          </cell>
          <cell r="I17">
            <v>9.6199999999999992</v>
          </cell>
          <cell r="J17">
            <v>343.43</v>
          </cell>
        </row>
        <row r="18">
          <cell r="A18" t="str">
            <v>08.100.00</v>
          </cell>
          <cell r="B18" t="str">
            <v>TAPA BURACO</v>
          </cell>
          <cell r="D18">
            <v>608</v>
          </cell>
          <cell r="E18" t="str">
            <v>kmf</v>
          </cell>
          <cell r="F18">
            <v>6.2</v>
          </cell>
          <cell r="G18" t="str">
            <v>m3/kmf</v>
          </cell>
          <cell r="H18">
            <v>3769.6</v>
          </cell>
          <cell r="I18">
            <v>71.87</v>
          </cell>
          <cell r="J18">
            <v>270921.15000000002</v>
          </cell>
        </row>
        <row r="19">
          <cell r="A19" t="str">
            <v>08.101.01</v>
          </cell>
          <cell r="B19" t="str">
            <v>REMENDO PROFUNDO C/.DEM. MANUAL</v>
          </cell>
          <cell r="D19">
            <v>608</v>
          </cell>
          <cell r="E19" t="str">
            <v>kmf</v>
          </cell>
          <cell r="F19">
            <v>2.1</v>
          </cell>
          <cell r="G19" t="str">
            <v>m3/kmf</v>
          </cell>
          <cell r="H19">
            <v>1276.8</v>
          </cell>
          <cell r="I19">
            <v>76.97</v>
          </cell>
          <cell r="J19">
            <v>98275.3</v>
          </cell>
        </row>
        <row r="20">
          <cell r="A20" t="str">
            <v>08.103.00</v>
          </cell>
          <cell r="B20" t="str">
            <v>SELAGEM DE TRINCAS</v>
          </cell>
          <cell r="D20">
            <v>608</v>
          </cell>
          <cell r="E20" t="str">
            <v>kmf</v>
          </cell>
          <cell r="F20">
            <v>116</v>
          </cell>
          <cell r="G20" t="str">
            <v>l/kmf</v>
          </cell>
          <cell r="H20">
            <v>70528</v>
          </cell>
          <cell r="I20">
            <v>1.43</v>
          </cell>
          <cell r="J20">
            <v>100855.03999999999</v>
          </cell>
        </row>
        <row r="21">
          <cell r="A21" t="str">
            <v>08.109.00</v>
          </cell>
          <cell r="B21" t="str">
            <v>CORREÇÃO DE DEF.C/MIST.BET. A FRIO</v>
          </cell>
          <cell r="D21">
            <v>608</v>
          </cell>
          <cell r="E21" t="str">
            <v>kmf</v>
          </cell>
          <cell r="F21">
            <v>3.2</v>
          </cell>
          <cell r="G21" t="str">
            <v>m3/kmf</v>
          </cell>
          <cell r="H21">
            <v>1945.6</v>
          </cell>
          <cell r="I21">
            <v>21.65</v>
          </cell>
          <cell r="J21">
            <v>42122.239999999998</v>
          </cell>
        </row>
        <row r="22">
          <cell r="A22" t="str">
            <v>08.300.01</v>
          </cell>
          <cell r="B22" t="str">
            <v>LIMPEZA DE SARJETA E MEIO FIO</v>
          </cell>
          <cell r="D22">
            <v>558900</v>
          </cell>
          <cell r="E22" t="str">
            <v>m</v>
          </cell>
          <cell r="F22">
            <v>1</v>
          </cell>
          <cell r="G22" t="str">
            <v>m/m</v>
          </cell>
          <cell r="H22">
            <v>558900</v>
          </cell>
          <cell r="I22">
            <v>0.13</v>
          </cell>
          <cell r="J22">
            <v>72657</v>
          </cell>
        </row>
        <row r="23">
          <cell r="A23" t="str">
            <v>08.301.02</v>
          </cell>
          <cell r="B23" t="str">
            <v>LIMPEZA DE VALA DE DRENAGEM</v>
          </cell>
          <cell r="D23">
            <v>46000</v>
          </cell>
          <cell r="E23" t="str">
            <v>m</v>
          </cell>
          <cell r="F23">
            <v>0.5</v>
          </cell>
          <cell r="G23" t="str">
            <v>m/m</v>
          </cell>
          <cell r="H23">
            <v>23000</v>
          </cell>
          <cell r="I23">
            <v>0.77</v>
          </cell>
          <cell r="J23">
            <v>17710</v>
          </cell>
        </row>
        <row r="24">
          <cell r="A24" t="str">
            <v>08.302.01</v>
          </cell>
          <cell r="B24" t="str">
            <v>LIMPEZA DE BUEIRO</v>
          </cell>
          <cell r="D24">
            <v>480</v>
          </cell>
          <cell r="E24" t="str">
            <v>ud</v>
          </cell>
          <cell r="F24">
            <v>1</v>
          </cell>
          <cell r="G24" t="str">
            <v>m3/ud</v>
          </cell>
          <cell r="H24">
            <v>480</v>
          </cell>
          <cell r="I24">
            <v>4.26</v>
          </cell>
          <cell r="J24">
            <v>2044.8</v>
          </cell>
        </row>
        <row r="25">
          <cell r="A25" t="str">
            <v>08.302.02</v>
          </cell>
          <cell r="B25" t="str">
            <v>DESOBSTRUÇÃO DE BUEIRO</v>
          </cell>
          <cell r="D25">
            <v>480</v>
          </cell>
          <cell r="E25" t="str">
            <v>ud</v>
          </cell>
          <cell r="F25">
            <v>0.5</v>
          </cell>
          <cell r="G25" t="str">
            <v>m3/ud</v>
          </cell>
          <cell r="H25">
            <v>240</v>
          </cell>
          <cell r="I25">
            <v>12.38</v>
          </cell>
          <cell r="J25">
            <v>2971.2</v>
          </cell>
        </row>
        <row r="26">
          <cell r="A26" t="str">
            <v>08.402.00</v>
          </cell>
          <cell r="B26" t="str">
            <v>CAIAÇÃO(M. FIO/SARJ./GUARDA CORPO)</v>
          </cell>
          <cell r="D26">
            <v>559688.30000000005</v>
          </cell>
          <cell r="E26" t="str">
            <v>m</v>
          </cell>
          <cell r="F26">
            <v>0.69999998213291215</v>
          </cell>
          <cell r="G26" t="str">
            <v>m2/m</v>
          </cell>
          <cell r="H26">
            <v>391781.8</v>
          </cell>
          <cell r="I26">
            <v>0.68700000000000006</v>
          </cell>
          <cell r="J26">
            <v>269154.09999999998</v>
          </cell>
        </row>
        <row r="27">
          <cell r="A27" t="str">
            <v>08.404.00</v>
          </cell>
          <cell r="B27" t="str">
            <v>RECOMP. TOTAL DE CERCA DE CONCRETO</v>
          </cell>
          <cell r="D27">
            <v>608000</v>
          </cell>
          <cell r="E27" t="str">
            <v>m</v>
          </cell>
          <cell r="F27">
            <v>0.05</v>
          </cell>
          <cell r="G27" t="str">
            <v>m/m</v>
          </cell>
          <cell r="H27">
            <v>30400</v>
          </cell>
          <cell r="I27">
            <v>4.6100000000000003</v>
          </cell>
          <cell r="J27">
            <v>140144</v>
          </cell>
        </row>
        <row r="28">
          <cell r="A28" t="str">
            <v>08.409.01</v>
          </cell>
          <cell r="B28" t="str">
            <v>LIMPEZA DE PLACA DE SINALIZAÇÃO</v>
          </cell>
          <cell r="D28">
            <v>500</v>
          </cell>
          <cell r="E28" t="str">
            <v>m2</v>
          </cell>
          <cell r="F28">
            <v>1</v>
          </cell>
          <cell r="G28" t="str">
            <v>m2/m2</v>
          </cell>
          <cell r="H28">
            <v>500</v>
          </cell>
          <cell r="I28">
            <v>2.21</v>
          </cell>
          <cell r="J28">
            <v>1105</v>
          </cell>
        </row>
        <row r="29">
          <cell r="A29" t="str">
            <v>08.500.00</v>
          </cell>
          <cell r="B29" t="str">
            <v>RECOMPOSIÇÃO MANUAL DE ATERRO</v>
          </cell>
          <cell r="D29">
            <v>304</v>
          </cell>
          <cell r="E29" t="str">
            <v>km</v>
          </cell>
          <cell r="F29">
            <v>6.8</v>
          </cell>
          <cell r="G29" t="str">
            <v>m3/km</v>
          </cell>
          <cell r="H29">
            <v>2067.1999999999998</v>
          </cell>
          <cell r="I29">
            <v>17.55</v>
          </cell>
          <cell r="J29">
            <v>36279.360000000001</v>
          </cell>
        </row>
        <row r="30">
          <cell r="A30" t="str">
            <v>08.510.00</v>
          </cell>
          <cell r="B30" t="str">
            <v>REMOÇÃO MANUAL DE BARREIRA</v>
          </cell>
          <cell r="D30">
            <v>304</v>
          </cell>
          <cell r="E30" t="str">
            <v>km</v>
          </cell>
          <cell r="F30">
            <v>8.5</v>
          </cell>
          <cell r="G30" t="str">
            <v>m3/km</v>
          </cell>
          <cell r="H30">
            <v>2584</v>
          </cell>
          <cell r="I30">
            <v>9.86</v>
          </cell>
          <cell r="J30">
            <v>25478.240000000002</v>
          </cell>
        </row>
        <row r="31">
          <cell r="A31" t="str">
            <v>08.900.00</v>
          </cell>
          <cell r="B31" t="str">
            <v>ROÇADA MANUAL</v>
          </cell>
          <cell r="D31">
            <v>304</v>
          </cell>
          <cell r="E31" t="str">
            <v>km</v>
          </cell>
          <cell r="F31">
            <v>1</v>
          </cell>
          <cell r="G31" t="str">
            <v>ha/km</v>
          </cell>
          <cell r="H31">
            <v>304</v>
          </cell>
          <cell r="I31">
            <v>355</v>
          </cell>
          <cell r="J31">
            <v>107920</v>
          </cell>
        </row>
        <row r="32">
          <cell r="A32" t="str">
            <v>08.910.00</v>
          </cell>
          <cell r="B32" t="str">
            <v>CAPINA MANUAL</v>
          </cell>
          <cell r="D32">
            <v>444736</v>
          </cell>
          <cell r="E32" t="str">
            <v>m2</v>
          </cell>
          <cell r="F32">
            <v>1.6</v>
          </cell>
          <cell r="G32" t="str">
            <v>m2/m</v>
          </cell>
          <cell r="H32">
            <v>711577.59999999998</v>
          </cell>
          <cell r="I32">
            <v>0.13</v>
          </cell>
          <cell r="J32">
            <v>92505.09</v>
          </cell>
        </row>
        <row r="33">
          <cell r="A33" t="str">
            <v>09.002.00</v>
          </cell>
          <cell r="B33" t="str">
            <v>TRANSP. EM CAMINHÃO BASCUL. 5 M3 (8,8 T)</v>
          </cell>
          <cell r="G33" t="str">
            <v>t.km</v>
          </cell>
          <cell r="H33">
            <v>876870.11</v>
          </cell>
          <cell r="I33">
            <v>0.22</v>
          </cell>
          <cell r="J33">
            <v>192911.42</v>
          </cell>
        </row>
        <row r="34">
          <cell r="A34" t="str">
            <v>09.002.01</v>
          </cell>
          <cell r="B34" t="str">
            <v>TRANSP. CAMINHÃO  CARROCERIA DE 4T</v>
          </cell>
          <cell r="G34" t="str">
            <v>t.km</v>
          </cell>
          <cell r="H34">
            <v>54989.22</v>
          </cell>
          <cell r="I34">
            <v>0.46</v>
          </cell>
          <cell r="J34">
            <v>25295.040000000001</v>
          </cell>
        </row>
        <row r="35">
          <cell r="A35" t="str">
            <v>09.002.03</v>
          </cell>
          <cell r="B35" t="str">
            <v>TRANSP. ESPECIAL EM BASC. DE 4,0 M3</v>
          </cell>
          <cell r="G35" t="str">
            <v>t.km</v>
          </cell>
          <cell r="H35">
            <v>766092.03839999996</v>
          </cell>
          <cell r="I35">
            <v>0.35</v>
          </cell>
          <cell r="J35">
            <v>268132.21000000002</v>
          </cell>
        </row>
        <row r="36">
          <cell r="A36" t="str">
            <v>E.4.12</v>
          </cell>
          <cell r="B36" t="str">
            <v>AUTOMÓVEL SEDAN</v>
          </cell>
          <cell r="D36">
            <v>12</v>
          </cell>
          <cell r="E36" t="str">
            <v>mês</v>
          </cell>
          <cell r="F36">
            <v>1</v>
          </cell>
          <cell r="G36" t="str">
            <v>mês/mês</v>
          </cell>
          <cell r="H36">
            <v>12</v>
          </cell>
          <cell r="I36">
            <v>2189.5500000000002</v>
          </cell>
          <cell r="J36">
            <v>26274.6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PGQ"/>
      <sheetName val="Equipamentos"/>
      <sheetName val="Teor"/>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FONTE"/>
      <sheetName val="PLA posto de saude"/>
      <sheetName val="CAPACIDADES"/>
      <sheetName val="LOTE 6"/>
    </sheetNames>
    <sheetDataSet>
      <sheetData sheetId="0">
        <row r="1">
          <cell r="B1" t="str">
            <v>18.01</v>
          </cell>
        </row>
        <row r="2">
          <cell r="B2" t="str">
            <v>18.01.005</v>
          </cell>
          <cell r="C2" t="str">
            <v>Fio de cobre nu, tempera meio-duro, classe 1A S.M. - 10 mm², inclusive assentamento.</v>
          </cell>
          <cell r="D2" t="str">
            <v>m</v>
          </cell>
          <cell r="F2">
            <v>1.84</v>
          </cell>
          <cell r="G2">
            <v>0</v>
          </cell>
        </row>
        <row r="3">
          <cell r="B3" t="str">
            <v>18.01.010</v>
          </cell>
          <cell r="C3" t="str">
            <v>Fio de cobre, tempera meio-duro, classe 1, com cobertura de PVC, tipo WPP, S.M. - 4 mm², inclusive assentamento.</v>
          </cell>
          <cell r="D3" t="str">
            <v>m</v>
          </cell>
          <cell r="F3">
            <v>0.97</v>
          </cell>
          <cell r="G3">
            <v>0</v>
          </cell>
        </row>
        <row r="4">
          <cell r="B4" t="str">
            <v>18.01.015</v>
          </cell>
          <cell r="C4" t="str">
            <v>Desativação da rede elétrica existente.</v>
          </cell>
          <cell r="D4" t="str">
            <v>vb</v>
          </cell>
          <cell r="F4">
            <v>283.14</v>
          </cell>
        </row>
        <row r="5">
          <cell r="B5" t="str">
            <v>18.01.016</v>
          </cell>
          <cell r="C5" t="str">
            <v>Revisão do circuito elétrico que alimenta as luminárias para lâmpadas vapor mercúrio (aproveitamento de 90 % da fiação existente).</v>
          </cell>
          <cell r="D5" t="str">
            <v>vb</v>
          </cell>
          <cell r="F5">
            <v>613.08000000000004</v>
          </cell>
        </row>
        <row r="6">
          <cell r="B6" t="str">
            <v>18.01.020</v>
          </cell>
          <cell r="C6" t="str">
            <v>Fio de cobre, tempera meio-duro, classe 1, com cobertura de PVC, tipo WPP, S.M. - 6 mm², inclusive assentamento.</v>
          </cell>
          <cell r="D6" t="str">
            <v>m</v>
          </cell>
          <cell r="F6">
            <v>1.1599999999999999</v>
          </cell>
          <cell r="G6">
            <v>0</v>
          </cell>
        </row>
        <row r="7">
          <cell r="B7" t="str">
            <v>18.01.025</v>
          </cell>
          <cell r="C7" t="str">
            <v>Fio de cobre, tempera meio-duro, classe 1, com cobertura de PVC, tipo WPP, S.M. - 10 mm², inclusive assentamento.</v>
          </cell>
          <cell r="D7" t="str">
            <v>m</v>
          </cell>
          <cell r="F7">
            <v>1.62</v>
          </cell>
          <cell r="G7">
            <v>0</v>
          </cell>
        </row>
        <row r="8">
          <cell r="B8" t="str">
            <v>18.01.030</v>
          </cell>
          <cell r="C8" t="str">
            <v>Cabo de cobre, tempera meio-duro, encordoamento classe 2, com cobertura de PVC, tipo WPP, S.M. - 10 mm², inclusive assentamento.</v>
          </cell>
          <cell r="D8" t="str">
            <v>m</v>
          </cell>
          <cell r="F8">
            <v>1.64</v>
          </cell>
          <cell r="G8">
            <v>0</v>
          </cell>
        </row>
        <row r="9">
          <cell r="B9" t="str">
            <v>18.01.040</v>
          </cell>
          <cell r="C9" t="str">
            <v>Cabo de cobre, tempera meio-duro, encordoamento classe 2, com cobertura de PVC, tipo WPP, S.M. - 16 mm², inclusive assentamento.</v>
          </cell>
          <cell r="D9" t="str">
            <v>m</v>
          </cell>
          <cell r="F9">
            <v>2.44</v>
          </cell>
          <cell r="G9">
            <v>0</v>
          </cell>
        </row>
        <row r="10">
          <cell r="B10" t="str">
            <v>18.01.050</v>
          </cell>
          <cell r="C10" t="str">
            <v>Cabo de cobre, tempera meio-duro, encordoamento classe 2, com cobertura de PVC, tipo WPP, S.M. - 25 mm², inclusive assentamento.</v>
          </cell>
          <cell r="D10" t="str">
            <v>m</v>
          </cell>
          <cell r="F10">
            <v>3.24</v>
          </cell>
          <cell r="G10">
            <v>0</v>
          </cell>
        </row>
        <row r="11">
          <cell r="B11" t="str">
            <v>18.01.060</v>
          </cell>
          <cell r="C11" t="str">
            <v xml:space="preserve">Fornecimento e instalação de cabo de cobre nutrancado e asete fios, de tempera mole, bitola de 16 mm2. </v>
          </cell>
          <cell r="D11" t="str">
            <v>m</v>
          </cell>
          <cell r="F11">
            <v>3.4</v>
          </cell>
          <cell r="G11">
            <v>0</v>
          </cell>
        </row>
        <row r="13">
          <cell r="B13" t="str">
            <v>18.02</v>
          </cell>
        </row>
        <row r="14">
          <cell r="B14" t="str">
            <v>18.02.005</v>
          </cell>
          <cell r="C14" t="str">
            <v>Colocação de poste de ferro</v>
          </cell>
          <cell r="D14" t="str">
            <v>m</v>
          </cell>
          <cell r="F14">
            <v>6.51</v>
          </cell>
          <cell r="G14">
            <v>0</v>
          </cell>
        </row>
        <row r="15">
          <cell r="B15" t="str">
            <v>18.02.010</v>
          </cell>
          <cell r="C15" t="str">
            <v>Retirada de postes de concreto secção duplo T200 / 8 com engastamento direto no solo de 1,40 m (Poste 184-570, 18570 e mais dois sem identificação)</v>
          </cell>
          <cell r="D15" t="str">
            <v>un</v>
          </cell>
          <cell r="F15">
            <v>51.97</v>
          </cell>
          <cell r="G15">
            <v>0</v>
          </cell>
        </row>
        <row r="16">
          <cell r="B16" t="str">
            <v>18.02.020</v>
          </cell>
          <cell r="C16" t="str">
            <v>Poste de concreto secção duplo T, 100/8, com engastamento direto no solo de 1,40 m, inclusive colocação.</v>
          </cell>
          <cell r="D16" t="str">
            <v>un</v>
          </cell>
          <cell r="F16">
            <v>141.27000000000001</v>
          </cell>
          <cell r="G16">
            <v>0</v>
          </cell>
        </row>
        <row r="17">
          <cell r="B17" t="str">
            <v>18.02.025</v>
          </cell>
          <cell r="C17" t="str">
            <v>Fornecimento e instalação de poste ornamental com h=4,0 m, sendo 1,0 m de enterrado, com 03 luminárias, vidro transparente modelo MLD 304 / B, bem como pintura á óleo, duas demãos, cor preta, conforme projeto.</v>
          </cell>
          <cell r="D17" t="str">
            <v>un</v>
          </cell>
          <cell r="F17">
            <v>239.88</v>
          </cell>
          <cell r="G17">
            <v>0</v>
          </cell>
        </row>
        <row r="18">
          <cell r="B18" t="str">
            <v>18.02.026</v>
          </cell>
          <cell r="C18" t="str">
            <v>Deslocamento de poste.</v>
          </cell>
          <cell r="D18" t="str">
            <v>un</v>
          </cell>
          <cell r="F18">
            <v>67.33</v>
          </cell>
          <cell r="G18">
            <v>0</v>
          </cell>
        </row>
        <row r="19">
          <cell r="B19" t="str">
            <v>18.02.030</v>
          </cell>
          <cell r="C19" t="str">
            <v>Poste de concreto secção duplo T, 200/8, com engastamento direto no solo de 1,40 m, inclusive colocação.</v>
          </cell>
          <cell r="D19" t="str">
            <v>un</v>
          </cell>
          <cell r="F19">
            <v>160.6</v>
          </cell>
          <cell r="G19">
            <v>0</v>
          </cell>
        </row>
        <row r="20">
          <cell r="B20" t="str">
            <v>18.02.040</v>
          </cell>
          <cell r="C20" t="str">
            <v>Poste de concreto secção duplo T, 200/12, com engastamento direto no solo de 1,80 m, inclusive colocação.</v>
          </cell>
          <cell r="D20" t="str">
            <v>un</v>
          </cell>
          <cell r="F20">
            <v>264.32</v>
          </cell>
          <cell r="G20">
            <v>0</v>
          </cell>
        </row>
        <row r="21">
          <cell r="B21" t="str">
            <v>18.02.045</v>
          </cell>
          <cell r="C21" t="str">
            <v>Poste de concreto secção duplo T, 300/8, com engastamento direto no solo de 1,40 m, inclusive colocação.</v>
          </cell>
          <cell r="D21" t="str">
            <v>un</v>
          </cell>
          <cell r="F21">
            <v>193.4</v>
          </cell>
          <cell r="G21">
            <v>0</v>
          </cell>
        </row>
        <row r="22">
          <cell r="B22" t="str">
            <v>18.02.050</v>
          </cell>
          <cell r="C22" t="str">
            <v>Poste de concreto secção duplo T, 300/12, com engastamento direto no solo de 1,80 m, inclusive colocação.</v>
          </cell>
          <cell r="D22" t="str">
            <v>un</v>
          </cell>
          <cell r="F22">
            <v>55.74</v>
          </cell>
          <cell r="G22">
            <v>0</v>
          </cell>
        </row>
        <row r="23">
          <cell r="B23" t="str">
            <v>18.02.051</v>
          </cell>
          <cell r="C23" t="str">
            <v xml:space="preserve">Super poste de concreto armado circular com altura de 20 m. </v>
          </cell>
          <cell r="D23" t="str">
            <v>un</v>
          </cell>
          <cell r="F23">
            <v>2209.3200000000002</v>
          </cell>
          <cell r="G23">
            <v>0</v>
          </cell>
        </row>
        <row r="24">
          <cell r="B24" t="str">
            <v>18.02.060</v>
          </cell>
          <cell r="C24" t="str">
            <v>Poste de concreto c/ seção circular c/ iluminação de 3 pétalas c/ altura de 8 m inclusive colocação, fixação e base de concreto p/ fixação</v>
          </cell>
          <cell r="D24" t="str">
            <v>un</v>
          </cell>
          <cell r="F24">
            <v>888.06</v>
          </cell>
        </row>
        <row r="25">
          <cell r="B25" t="str">
            <v>18.02.070</v>
          </cell>
          <cell r="C25" t="str">
            <v>Poste ornamental.</v>
          </cell>
          <cell r="D25" t="str">
            <v>un</v>
          </cell>
          <cell r="F25">
            <v>210.72</v>
          </cell>
        </row>
        <row r="26">
          <cell r="B26" t="str">
            <v>18.02.071</v>
          </cell>
          <cell r="C26" t="str">
            <v>Poste em concreto vibrado seção circular 9 m - 200 kg</v>
          </cell>
          <cell r="D26" t="str">
            <v>un</v>
          </cell>
          <cell r="F26">
            <v>216</v>
          </cell>
        </row>
        <row r="27">
          <cell r="B27" t="str">
            <v>18.02.080</v>
          </cell>
          <cell r="C27" t="str">
            <v>Fornecimento e instalação de rele fotoelétrico, 1000 w - 220 v.</v>
          </cell>
          <cell r="D27" t="str">
            <v>un</v>
          </cell>
          <cell r="F27">
            <v>18</v>
          </cell>
        </row>
        <row r="29">
          <cell r="B29" t="str">
            <v>18.03</v>
          </cell>
        </row>
        <row r="30">
          <cell r="B30" t="str">
            <v>18.03.010</v>
          </cell>
          <cell r="C30" t="str">
            <v>Estrutura secundária B1 completa, inclusive fixação.</v>
          </cell>
          <cell r="D30" t="str">
            <v>un</v>
          </cell>
          <cell r="F30">
            <v>29.1</v>
          </cell>
          <cell r="G30">
            <v>0</v>
          </cell>
        </row>
        <row r="31">
          <cell r="B31" t="str">
            <v>18.03.015</v>
          </cell>
          <cell r="C31" t="str">
            <v>Estrutura secundária B2 completa, inclusive fixação.</v>
          </cell>
          <cell r="D31" t="str">
            <v>un</v>
          </cell>
          <cell r="F31">
            <v>35.21</v>
          </cell>
          <cell r="G31">
            <v>0</v>
          </cell>
        </row>
        <row r="32">
          <cell r="B32" t="str">
            <v>18.03.020</v>
          </cell>
          <cell r="C32" t="str">
            <v>Estrutura secundária B3 completa, inclusive fixação.</v>
          </cell>
          <cell r="D32" t="str">
            <v>un</v>
          </cell>
          <cell r="F32">
            <v>59.23</v>
          </cell>
          <cell r="G32">
            <v>0</v>
          </cell>
        </row>
        <row r="33">
          <cell r="B33" t="str">
            <v>18.03.030</v>
          </cell>
          <cell r="C33" t="str">
            <v>Estrutura secundária B4 completa, inclusive fixação.</v>
          </cell>
          <cell r="D33" t="str">
            <v>un</v>
          </cell>
          <cell r="F33">
            <v>65.989999999999995</v>
          </cell>
          <cell r="G33">
            <v>0</v>
          </cell>
        </row>
        <row r="34">
          <cell r="B34" t="str">
            <v>18.03.031</v>
          </cell>
          <cell r="C34" t="str">
            <v>Cabo de iluminação 1/0 AWG - NU</v>
          </cell>
          <cell r="D34" t="str">
            <v>m</v>
          </cell>
          <cell r="F34">
            <v>19.54</v>
          </cell>
          <cell r="G34">
            <v>0</v>
          </cell>
        </row>
        <row r="35">
          <cell r="B35" t="str">
            <v>18.03.032</v>
          </cell>
          <cell r="C35" t="str">
            <v>Isoladores tipo castanha</v>
          </cell>
          <cell r="D35" t="str">
            <v>un</v>
          </cell>
          <cell r="F35">
            <v>17.399999999999999</v>
          </cell>
          <cell r="G35">
            <v>0</v>
          </cell>
        </row>
        <row r="36">
          <cell r="B36" t="str">
            <v>18.03.033</v>
          </cell>
          <cell r="C36" t="str">
            <v>Foto célula tipo NA.</v>
          </cell>
          <cell r="D36" t="str">
            <v>un</v>
          </cell>
          <cell r="F36">
            <v>12.77</v>
          </cell>
          <cell r="G36">
            <v>0</v>
          </cell>
        </row>
        <row r="38">
          <cell r="B38" t="str">
            <v>18.04</v>
          </cell>
        </row>
        <row r="39">
          <cell r="B39" t="str">
            <v>18.04.010</v>
          </cell>
          <cell r="C39" t="str">
            <v>Eletroduto de ferro galvanizado de 3/4 pol., inclusive assentamento.</v>
          </cell>
          <cell r="D39" t="str">
            <v>m</v>
          </cell>
          <cell r="F39">
            <v>4.9000000000000004</v>
          </cell>
          <cell r="G39">
            <v>0</v>
          </cell>
        </row>
        <row r="40">
          <cell r="B40" t="str">
            <v>18.04.020</v>
          </cell>
          <cell r="C40" t="str">
            <v>Eletroduto de ferro galvanizado de 1 pol., inclusive assentamento.</v>
          </cell>
          <cell r="D40" t="str">
            <v>m</v>
          </cell>
          <cell r="F40">
            <v>7.43</v>
          </cell>
          <cell r="G40">
            <v>0</v>
          </cell>
        </row>
        <row r="41">
          <cell r="B41" t="str">
            <v>18.04.030</v>
          </cell>
          <cell r="C41" t="str">
            <v>Eletroduto de ferro galvanizado de 1 1/2 pol., inclusive assentamento.</v>
          </cell>
          <cell r="D41" t="str">
            <v>m</v>
          </cell>
          <cell r="F41">
            <v>11.76</v>
          </cell>
          <cell r="G41">
            <v>0</v>
          </cell>
        </row>
        <row r="42">
          <cell r="B42" t="str">
            <v>18.04.040</v>
          </cell>
          <cell r="C42" t="str">
            <v>Eletroduto de ferro galvanizado de 2 pol., inclusive assentamento.</v>
          </cell>
          <cell r="D42" t="str">
            <v>m</v>
          </cell>
          <cell r="F42">
            <v>15.46</v>
          </cell>
          <cell r="G42">
            <v>0</v>
          </cell>
        </row>
        <row r="43">
          <cell r="B43" t="str">
            <v>18.04.050</v>
          </cell>
          <cell r="C43" t="str">
            <v>Eletroduto de ferro galvanizado de 2 1/2 pol., inclusive assentamento.</v>
          </cell>
          <cell r="D43" t="str">
            <v>m</v>
          </cell>
          <cell r="F43">
            <v>23.01</v>
          </cell>
          <cell r="G43">
            <v>0</v>
          </cell>
        </row>
        <row r="44">
          <cell r="B44" t="str">
            <v>18.04.060</v>
          </cell>
          <cell r="C44" t="str">
            <v>Eletroduto de ferro galvanizado de 4 pol., inclusive assentamento.</v>
          </cell>
          <cell r="D44" t="str">
            <v>m</v>
          </cell>
          <cell r="F44">
            <v>37.299999999999997</v>
          </cell>
          <cell r="G44">
            <v>0</v>
          </cell>
        </row>
        <row r="45">
          <cell r="B45" t="str">
            <v>18.04.061</v>
          </cell>
          <cell r="C45" t="str">
            <v>Eletroduto de PVC rígido de 11/2" com luva de rosca interna, inclusive assentamento</v>
          </cell>
          <cell r="D45" t="str">
            <v>un</v>
          </cell>
          <cell r="F45">
            <v>6.33</v>
          </cell>
        </row>
        <row r="47">
          <cell r="B47" t="str">
            <v>18.05</v>
          </cell>
        </row>
        <row r="48">
          <cell r="B48" t="str">
            <v>18.05.010</v>
          </cell>
          <cell r="C48" t="str">
            <v>Curva de ferro galvanizado de 3/4 pol., inclusive assentamento.</v>
          </cell>
          <cell r="D48" t="str">
            <v>un</v>
          </cell>
          <cell r="F48">
            <v>3.1</v>
          </cell>
          <cell r="G48">
            <v>0</v>
          </cell>
        </row>
        <row r="49">
          <cell r="B49" t="str">
            <v>18.05.020</v>
          </cell>
          <cell r="C49" t="str">
            <v>Curva de ferro galvanizado de 1 pol., inclusive assentamento.</v>
          </cell>
          <cell r="D49" t="str">
            <v>un</v>
          </cell>
          <cell r="F49">
            <v>4.53</v>
          </cell>
          <cell r="G49">
            <v>0</v>
          </cell>
        </row>
        <row r="50">
          <cell r="B50" t="str">
            <v>18.05.030</v>
          </cell>
          <cell r="C50" t="str">
            <v>Curva de ferro galvanizado de 1 1/2 pol., inclusive assentamento.</v>
          </cell>
          <cell r="D50" t="str">
            <v>un</v>
          </cell>
          <cell r="F50">
            <v>10.41</v>
          </cell>
          <cell r="G50">
            <v>0</v>
          </cell>
        </row>
        <row r="51">
          <cell r="B51" t="str">
            <v>18.05.040</v>
          </cell>
          <cell r="C51" t="str">
            <v>Curva de ferro galvanizado de 2 pol., inclusive assentamento.</v>
          </cell>
          <cell r="D51" t="str">
            <v>un</v>
          </cell>
          <cell r="F51">
            <v>16.78</v>
          </cell>
          <cell r="G51">
            <v>0</v>
          </cell>
        </row>
        <row r="52">
          <cell r="B52" t="str">
            <v>18.05.050</v>
          </cell>
          <cell r="C52" t="str">
            <v>Curva de ferro galvanizado de 2 1/2 pol., inclusive assentamento.</v>
          </cell>
          <cell r="D52" t="str">
            <v>un</v>
          </cell>
          <cell r="F52">
            <v>36.65</v>
          </cell>
          <cell r="G52">
            <v>0</v>
          </cell>
        </row>
        <row r="53">
          <cell r="B53" t="str">
            <v>18.05.060</v>
          </cell>
          <cell r="C53" t="str">
            <v>Curva de ferro galvanizado de 4 pol., inclusive assentamento.</v>
          </cell>
          <cell r="D53" t="str">
            <v>un</v>
          </cell>
          <cell r="F53">
            <v>76.64</v>
          </cell>
          <cell r="G53">
            <v>0</v>
          </cell>
        </row>
        <row r="54">
          <cell r="B54" t="str">
            <v>18.05.065</v>
          </cell>
          <cell r="C54" t="str">
            <v>Fornecimento e assentamento de haste de aterramento 5/8" x 2,40 m coppereweld</v>
          </cell>
          <cell r="D54" t="str">
            <v>un</v>
          </cell>
          <cell r="F54">
            <v>22.22</v>
          </cell>
        </row>
        <row r="56">
          <cell r="B56" t="str">
            <v>18.06</v>
          </cell>
        </row>
        <row r="57">
          <cell r="B57" t="str">
            <v>18.06.010</v>
          </cell>
          <cell r="C57" t="str">
            <v>Luva de ferro galvanizado de 3/4 pol., inclusive assentamento.</v>
          </cell>
          <cell r="D57" t="str">
            <v>un</v>
          </cell>
          <cell r="F57">
            <v>1.1299999999999999</v>
          </cell>
          <cell r="G57">
            <v>0</v>
          </cell>
        </row>
        <row r="58">
          <cell r="B58" t="str">
            <v>18.06.020</v>
          </cell>
          <cell r="C58" t="str">
            <v>Luva de ferro galvanizado de 1 pol., inclusive assentamento.</v>
          </cell>
          <cell r="D58" t="str">
            <v>un</v>
          </cell>
          <cell r="F58">
            <v>1.68</v>
          </cell>
          <cell r="G58">
            <v>0</v>
          </cell>
        </row>
        <row r="59">
          <cell r="B59" t="str">
            <v>18.06.030</v>
          </cell>
          <cell r="C59" t="str">
            <v>Luva de ferro galvanizado de 1 1/2 pol., inclusive assentamento.</v>
          </cell>
          <cell r="D59" t="str">
            <v>un</v>
          </cell>
          <cell r="F59">
            <v>2.91</v>
          </cell>
          <cell r="G59">
            <v>0</v>
          </cell>
        </row>
        <row r="60">
          <cell r="B60" t="str">
            <v>18.06.040</v>
          </cell>
          <cell r="C60" t="str">
            <v>Luva de ferro galvanizado de 2 pol., inclusive assentamento.</v>
          </cell>
          <cell r="D60" t="str">
            <v>un</v>
          </cell>
          <cell r="F60">
            <v>4.05</v>
          </cell>
          <cell r="G60">
            <v>0</v>
          </cell>
        </row>
        <row r="61">
          <cell r="B61" t="str">
            <v>18.06.050</v>
          </cell>
          <cell r="C61" t="str">
            <v>Luva de ferro galvanizado de 2 1/2 pol., inclusive assentamento.</v>
          </cell>
          <cell r="D61" t="str">
            <v>un</v>
          </cell>
          <cell r="F61">
            <v>7.16</v>
          </cell>
          <cell r="G61">
            <v>0</v>
          </cell>
        </row>
        <row r="62">
          <cell r="B62" t="str">
            <v>18.06.060</v>
          </cell>
          <cell r="C62" t="str">
            <v>Luva de ferro galvanizado de 4 pol., inclusive assentamento.</v>
          </cell>
          <cell r="D62" t="str">
            <v>un</v>
          </cell>
          <cell r="F62">
            <v>13.42</v>
          </cell>
          <cell r="G62">
            <v>0</v>
          </cell>
        </row>
        <row r="63">
          <cell r="B63" t="str">
            <v>18.06.061</v>
          </cell>
          <cell r="C63" t="str">
            <v>Luva de PVC rígido diâmetro de 2".</v>
          </cell>
          <cell r="D63" t="str">
            <v>un</v>
          </cell>
          <cell r="F63">
            <v>1.93</v>
          </cell>
          <cell r="G63">
            <v>0</v>
          </cell>
        </row>
        <row r="64">
          <cell r="B64" t="str">
            <v>18.06.062</v>
          </cell>
          <cell r="C64" t="str">
            <v>Luva de emenda para cabo 10 mm</v>
          </cell>
          <cell r="D64" t="str">
            <v>un</v>
          </cell>
          <cell r="F64">
            <v>0.35</v>
          </cell>
        </row>
        <row r="66">
          <cell r="B66" t="str">
            <v>18.07</v>
          </cell>
        </row>
        <row r="67">
          <cell r="B67" t="str">
            <v>18.07.010</v>
          </cell>
          <cell r="C67" t="str">
            <v>Jogo de bucha e arruela de alumínio de 1/2 pol., inclusive fixação.</v>
          </cell>
          <cell r="D67" t="str">
            <v>cj</v>
          </cell>
          <cell r="F67">
            <v>0.27</v>
          </cell>
          <cell r="G67">
            <v>0</v>
          </cell>
        </row>
        <row r="68">
          <cell r="B68" t="str">
            <v>18.07.020</v>
          </cell>
          <cell r="C68" t="str">
            <v>Jogo de bucha e arruela de alumínio de 3/4 pol., inclusive fixação.</v>
          </cell>
          <cell r="D68" t="str">
            <v>cj</v>
          </cell>
          <cell r="F68">
            <v>0.28999999999999998</v>
          </cell>
          <cell r="G68">
            <v>0</v>
          </cell>
        </row>
        <row r="69">
          <cell r="B69" t="str">
            <v>18.07.030</v>
          </cell>
          <cell r="C69" t="str">
            <v>Jogo de bucha e arruela de alumínio de 1 pol., inclusive fixação.</v>
          </cell>
          <cell r="D69" t="str">
            <v>cj</v>
          </cell>
          <cell r="F69">
            <v>0.45</v>
          </cell>
          <cell r="G69">
            <v>0</v>
          </cell>
        </row>
        <row r="70">
          <cell r="B70" t="str">
            <v>18.07.040</v>
          </cell>
          <cell r="C70" t="str">
            <v>Jogo de bucha e arruela de alumínio de 1 1/2 pol., inclusive fixação.</v>
          </cell>
          <cell r="D70" t="str">
            <v>cj</v>
          </cell>
          <cell r="F70">
            <v>0.85</v>
          </cell>
          <cell r="G70">
            <v>0</v>
          </cell>
        </row>
        <row r="71">
          <cell r="B71" t="str">
            <v>18.07.050</v>
          </cell>
          <cell r="C71" t="str">
            <v>Jogo de bucha e arruela de alumínio de 2 pol., inclusive fixação.</v>
          </cell>
          <cell r="D71" t="str">
            <v>cj</v>
          </cell>
          <cell r="F71">
            <v>1.64</v>
          </cell>
          <cell r="G71">
            <v>0</v>
          </cell>
        </row>
        <row r="72">
          <cell r="B72" t="str">
            <v>18.07.060</v>
          </cell>
          <cell r="C72" t="str">
            <v>Jogo de bucha e arruela de alumínio de 2 1/2 pol., inclusive fixação.</v>
          </cell>
          <cell r="D72" t="str">
            <v>cj</v>
          </cell>
          <cell r="F72">
            <v>2.39</v>
          </cell>
          <cell r="G72">
            <v>0</v>
          </cell>
        </row>
        <row r="73">
          <cell r="B73" t="str">
            <v>18.07.070</v>
          </cell>
          <cell r="C73" t="str">
            <v>Jogo de bucha e arruela de alumínio de 3 pol., inclusive fixação.</v>
          </cell>
          <cell r="D73" t="str">
            <v>cj</v>
          </cell>
          <cell r="F73">
            <v>3.79</v>
          </cell>
          <cell r="G73">
            <v>0</v>
          </cell>
        </row>
        <row r="74">
          <cell r="B74" t="str">
            <v>18.07.072</v>
          </cell>
          <cell r="C74" t="str">
            <v>Ganchos de 5/16".</v>
          </cell>
          <cell r="D74" t="str">
            <v>un</v>
          </cell>
          <cell r="F74">
            <v>0.8</v>
          </cell>
          <cell r="G74">
            <v>0</v>
          </cell>
        </row>
        <row r="75">
          <cell r="B75" t="str">
            <v>18.07.080</v>
          </cell>
          <cell r="C75" t="str">
            <v>Jogo de bucha e arruela de alumínio de 4 pol., inclusive fixação.</v>
          </cell>
          <cell r="D75" t="str">
            <v>cj</v>
          </cell>
          <cell r="F75">
            <v>5.31</v>
          </cell>
          <cell r="G75">
            <v>0</v>
          </cell>
        </row>
        <row r="77">
          <cell r="B77" t="str">
            <v>18.08</v>
          </cell>
        </row>
        <row r="78">
          <cell r="B78" t="str">
            <v>18.08.010</v>
          </cell>
          <cell r="C78" t="str">
            <v>Caixa para medição monofásica uso interno, inclusive colocação (padrão CELPE).</v>
          </cell>
          <cell r="D78" t="str">
            <v>un</v>
          </cell>
          <cell r="F78">
            <v>38.5</v>
          </cell>
          <cell r="G78">
            <v>0</v>
          </cell>
        </row>
        <row r="79">
          <cell r="B79" t="str">
            <v>18.08.020</v>
          </cell>
          <cell r="C79" t="str">
            <v>Caixa para medição monofásica uso externo, inclusive colocação (padrão CELPE).</v>
          </cell>
          <cell r="D79" t="str">
            <v>un</v>
          </cell>
          <cell r="F79">
            <v>48.6</v>
          </cell>
          <cell r="G79">
            <v>0</v>
          </cell>
        </row>
        <row r="81">
          <cell r="B81" t="str">
            <v>18.09</v>
          </cell>
        </row>
        <row r="82">
          <cell r="B82" t="str">
            <v>18.09.010</v>
          </cell>
          <cell r="C82" t="str">
            <v>Caixa para medição trifásica uso interno, modelo D, inclusive colocação (padrão CELPE).</v>
          </cell>
          <cell r="D82" t="str">
            <v>un</v>
          </cell>
          <cell r="F82">
            <v>82.93</v>
          </cell>
          <cell r="G82">
            <v>0</v>
          </cell>
        </row>
        <row r="83">
          <cell r="B83" t="str">
            <v>18.09.020</v>
          </cell>
          <cell r="C83" t="str">
            <v>Caixa para medição trifásica uso externo, modelo D, inclusive colocação (padrão CELPE).</v>
          </cell>
          <cell r="D83" t="str">
            <v>un</v>
          </cell>
          <cell r="F83">
            <v>104.26</v>
          </cell>
          <cell r="G83">
            <v>0</v>
          </cell>
        </row>
        <row r="85">
          <cell r="B85" t="str">
            <v>18.10</v>
          </cell>
        </row>
        <row r="86">
          <cell r="B86" t="str">
            <v>18.10.020</v>
          </cell>
          <cell r="C86" t="str">
            <v>Chave de faca de 2 polos, 30 A, 250 V, com base de ardósia, com 02 fusíveis tipo cartucho e parafusos, inclusive instalação em quadro de medição.</v>
          </cell>
          <cell r="D86" t="str">
            <v>un</v>
          </cell>
          <cell r="F86">
            <v>11.1</v>
          </cell>
          <cell r="G86">
            <v>0</v>
          </cell>
        </row>
        <row r="87">
          <cell r="B87" t="str">
            <v>18.10.030</v>
          </cell>
          <cell r="C87" t="str">
            <v>Chave de faca de 2 polos, 60 A, 250 V, com base de ardósia, com 02 fusíveis tipo cartucho e parafusos, inclusive instalação em quadro de medição.</v>
          </cell>
          <cell r="D87" t="str">
            <v>un</v>
          </cell>
          <cell r="F87">
            <v>16.3</v>
          </cell>
          <cell r="G87">
            <v>0</v>
          </cell>
        </row>
        <row r="88">
          <cell r="B88" t="str">
            <v>18.10.040</v>
          </cell>
          <cell r="C88" t="str">
            <v>Chave de faca de 3 polos, 60 A, 600 V, com base de ardósia, com 03 fusíveis tipo cartucho e parafusos, inclusive instalação em quadro de medição.</v>
          </cell>
          <cell r="D88" t="str">
            <v>un</v>
          </cell>
          <cell r="F88">
            <v>31.96</v>
          </cell>
          <cell r="G88">
            <v>0</v>
          </cell>
        </row>
        <row r="89">
          <cell r="B89" t="str">
            <v>18.10.050</v>
          </cell>
          <cell r="C89" t="str">
            <v>Chave de faca de 3 polos, 100 A, 600 V, com base de ardósia, com 03 fusíveis tipo cartucho e parafusos, inclusive instalação em quadro de medição.</v>
          </cell>
          <cell r="D89" t="str">
            <v>un</v>
          </cell>
          <cell r="F89">
            <v>57.62</v>
          </cell>
          <cell r="G89">
            <v>0</v>
          </cell>
        </row>
        <row r="90">
          <cell r="B90" t="str">
            <v>18.10.060</v>
          </cell>
          <cell r="C90" t="str">
            <v>Chave seccionadora com fusível, 125A, tipo 3NP4090 SIEMENS ou similar, tripolar com 03 fusíveis NH tamanho 00 e parafusos, inclusive instalação em quadro de medição.</v>
          </cell>
          <cell r="D90" t="str">
            <v>un</v>
          </cell>
          <cell r="F90">
            <v>85.08</v>
          </cell>
          <cell r="G90">
            <v>0</v>
          </cell>
        </row>
        <row r="91">
          <cell r="B91" t="str">
            <v>18.10.070</v>
          </cell>
          <cell r="C91" t="str">
            <v>Chave seccionadora com fusível, 250A, tipo 3NP2200 SIEMENS ou similar, tripolar com 03 fusíveis NH tamanho 01 e parafusos, inclusive instalação em quadro de medição.</v>
          </cell>
          <cell r="D91" t="str">
            <v>un</v>
          </cell>
          <cell r="F91">
            <v>141.25</v>
          </cell>
          <cell r="G91">
            <v>0</v>
          </cell>
        </row>
        <row r="93">
          <cell r="B93" t="str">
            <v>18.11</v>
          </cell>
        </row>
        <row r="94">
          <cell r="B94" t="str">
            <v>18.11.030</v>
          </cell>
          <cell r="C94" t="str">
            <v>Base para fusível tipo NH de 6 A a 125A, tamanho 00, SIEMENS ou similar, com parafusos, inclusive instalação em quadro.</v>
          </cell>
          <cell r="D94" t="str">
            <v>un</v>
          </cell>
          <cell r="F94">
            <v>9.09</v>
          </cell>
          <cell r="G94">
            <v>0</v>
          </cell>
        </row>
        <row r="95">
          <cell r="B95" t="str">
            <v>18.11.040</v>
          </cell>
          <cell r="C95" t="str">
            <v>Base para fusível tipo NH de 36 A a 250A, tamanho 1, SIEMENS ou similar, com parafusos, inclusive instalação em quadro.</v>
          </cell>
          <cell r="D95" t="str">
            <v>un</v>
          </cell>
          <cell r="F95">
            <v>17.96</v>
          </cell>
          <cell r="G95">
            <v>0</v>
          </cell>
        </row>
        <row r="97">
          <cell r="B97" t="str">
            <v>18.12</v>
          </cell>
        </row>
        <row r="98">
          <cell r="B98" t="str">
            <v>18.12.070</v>
          </cell>
          <cell r="C98" t="str">
            <v>Fusível tipo NH de 20A, tamanho 00, SIEMENS ou similar, inclusive instalação em quadro.</v>
          </cell>
          <cell r="D98" t="str">
            <v>un</v>
          </cell>
          <cell r="F98">
            <v>5.67</v>
          </cell>
          <cell r="G98">
            <v>0</v>
          </cell>
        </row>
        <row r="99">
          <cell r="B99" t="str">
            <v>18.12.080</v>
          </cell>
          <cell r="C99" t="str">
            <v>Fusível tipo NH de 25A, tamanho 00, SIEMENS ou similar, inclusive instalação em quadro.</v>
          </cell>
          <cell r="D99" t="str">
            <v>un</v>
          </cell>
          <cell r="F99">
            <v>5.67</v>
          </cell>
          <cell r="G99">
            <v>0</v>
          </cell>
        </row>
        <row r="100">
          <cell r="B100" t="str">
            <v>18.12.090</v>
          </cell>
          <cell r="C100" t="str">
            <v>Fusível tipo NH de 36A, tamanho 00, SIEMENS ou similar, inclusive instalação em quadro.</v>
          </cell>
          <cell r="D100" t="str">
            <v>un</v>
          </cell>
          <cell r="F100">
            <v>5.67</v>
          </cell>
          <cell r="G100">
            <v>0</v>
          </cell>
        </row>
        <row r="101">
          <cell r="B101" t="str">
            <v>18.12.100</v>
          </cell>
          <cell r="C101" t="str">
            <v>Fusível tipo NH de 50A, tamanho 00, SIEMENS ou similar, inclusive instalação em quadro.</v>
          </cell>
          <cell r="D101" t="str">
            <v>un</v>
          </cell>
          <cell r="F101">
            <v>5.67</v>
          </cell>
          <cell r="G101">
            <v>0</v>
          </cell>
        </row>
        <row r="102">
          <cell r="B102" t="str">
            <v>18.12.110</v>
          </cell>
          <cell r="C102" t="str">
            <v>Fusível tipo NH de 63A, tamanho 00, SIEMENS ou similar, inclusive instalação em quadro.</v>
          </cell>
          <cell r="D102" t="str">
            <v>un</v>
          </cell>
          <cell r="F102">
            <v>5.67</v>
          </cell>
          <cell r="G102">
            <v>0</v>
          </cell>
        </row>
        <row r="103">
          <cell r="B103" t="str">
            <v>18.12.120</v>
          </cell>
          <cell r="C103" t="str">
            <v>Fusível tipo NH de 80A, tamanho 00, SIEMENS ou similar, inclusive instalação em quadro.</v>
          </cell>
          <cell r="D103" t="str">
            <v>un</v>
          </cell>
          <cell r="F103">
            <v>5.67</v>
          </cell>
          <cell r="G103">
            <v>0</v>
          </cell>
        </row>
        <row r="104">
          <cell r="B104" t="str">
            <v>18.12.130</v>
          </cell>
          <cell r="C104" t="str">
            <v>Fusível tipo NH de 100A, tamanho 00, SIEMENS ou similar, inclusive instalação em quadro.</v>
          </cell>
          <cell r="D104" t="str">
            <v>un</v>
          </cell>
          <cell r="F104">
            <v>5.67</v>
          </cell>
          <cell r="G104">
            <v>0</v>
          </cell>
        </row>
        <row r="105">
          <cell r="B105" t="str">
            <v>18.12.140</v>
          </cell>
          <cell r="C105" t="str">
            <v>Fusível tipo NH de 125A, tamanho 00, SIEMENS ou similar, inclusive instalação em quadro.</v>
          </cell>
          <cell r="D105" t="str">
            <v>un</v>
          </cell>
          <cell r="F105">
            <v>5.67</v>
          </cell>
          <cell r="G105">
            <v>0</v>
          </cell>
        </row>
        <row r="106">
          <cell r="B106" t="str">
            <v>18.12.150</v>
          </cell>
          <cell r="C106" t="str">
            <v>Fusível tipo NH de 160A, tamanho 01, SIEMENS ou similar, inclusive instalação em quadro.</v>
          </cell>
          <cell r="D106" t="str">
            <v>un</v>
          </cell>
          <cell r="F106">
            <v>12.26</v>
          </cell>
          <cell r="G106">
            <v>0</v>
          </cell>
        </row>
        <row r="107">
          <cell r="B107" t="str">
            <v>18.12.160</v>
          </cell>
          <cell r="C107" t="str">
            <v>Fusível tipo NH de 200A, tamanho 01, SIEMENS ou similar, inclusive instalação em quadro.</v>
          </cell>
          <cell r="D107" t="str">
            <v>un</v>
          </cell>
          <cell r="F107">
            <v>12.26</v>
          </cell>
          <cell r="G107">
            <v>0</v>
          </cell>
        </row>
        <row r="108">
          <cell r="B108" t="str">
            <v>18.12.170</v>
          </cell>
          <cell r="C108" t="str">
            <v>Fusível tipo NH de 250A, tamanho 1, SIEMENS ou similar, inclusive instalação em quadro.</v>
          </cell>
          <cell r="D108" t="str">
            <v>un</v>
          </cell>
          <cell r="F108">
            <v>12.26</v>
          </cell>
          <cell r="G108">
            <v>0</v>
          </cell>
        </row>
        <row r="110">
          <cell r="B110" t="str">
            <v>18.13</v>
          </cell>
        </row>
        <row r="111">
          <cell r="B111" t="str">
            <v>18.13.005</v>
          </cell>
          <cell r="C111" t="str">
            <v>Eletroduto flexível preto de 1", assentado em valas com profundidade de 0,60 m, inclusive escavação e reaterro.</v>
          </cell>
          <cell r="D111" t="str">
            <v>m</v>
          </cell>
          <cell r="F111">
            <v>3.1</v>
          </cell>
          <cell r="G111">
            <v>0</v>
          </cell>
        </row>
        <row r="112">
          <cell r="B112" t="str">
            <v>18.13.010</v>
          </cell>
          <cell r="C112" t="str">
            <v>Eletroduto de PVC rígido rosqueável de 1/2 pol., com luva de rosca interna, inclusive assentamento em lajes.</v>
          </cell>
          <cell r="D112" t="str">
            <v>m</v>
          </cell>
          <cell r="F112">
            <v>1.46</v>
          </cell>
          <cell r="G112">
            <v>0</v>
          </cell>
        </row>
        <row r="113">
          <cell r="B113" t="str">
            <v>18.13.020</v>
          </cell>
          <cell r="C113" t="str">
            <v>Eletroduto de PVC rígido rosqueável de 3/4 pol., com luva de rosca interna, inclusive assentamento em lajes.</v>
          </cell>
          <cell r="D113" t="str">
            <v>m</v>
          </cell>
          <cell r="F113">
            <v>1.51</v>
          </cell>
          <cell r="G113">
            <v>0</v>
          </cell>
        </row>
        <row r="114">
          <cell r="B114" t="str">
            <v>18.13.030</v>
          </cell>
          <cell r="C114" t="str">
            <v>Eletroduto de PVC rígido rosqueável de 1 pol., com luva de rosca interna, inclusive assentamento em lajes.</v>
          </cell>
          <cell r="D114" t="str">
            <v>m</v>
          </cell>
          <cell r="F114">
            <v>2.54</v>
          </cell>
          <cell r="G114">
            <v>0</v>
          </cell>
        </row>
        <row r="115">
          <cell r="B115" t="str">
            <v>18.13.040</v>
          </cell>
          <cell r="C115" t="str">
            <v>Eletroduto de PVC rígido rosqueável de 1/2 pol., com luva de rosca interna, inclusive assentamento com rasgo em alvenaria.</v>
          </cell>
          <cell r="D115" t="str">
            <v>m</v>
          </cell>
          <cell r="F115">
            <v>2.23</v>
          </cell>
          <cell r="G115">
            <v>0</v>
          </cell>
        </row>
        <row r="116">
          <cell r="B116" t="str">
            <v>18.13.050</v>
          </cell>
          <cell r="C116" t="str">
            <v>Eletroduto de PVC rígido rosqueável de 3/4 pol., com luva de rosca interna, inclusive assentamento com rasgo em alvenaria.</v>
          </cell>
          <cell r="D116" t="str">
            <v>m</v>
          </cell>
          <cell r="F116">
            <v>2.71</v>
          </cell>
          <cell r="G116">
            <v>0</v>
          </cell>
        </row>
        <row r="117">
          <cell r="B117" t="str">
            <v>18.13.060</v>
          </cell>
          <cell r="C117" t="str">
            <v>Eletroduto de PVC rígido rosqueável de 1 pol., com luva de rosca interna, inclusive assentamento com rasgo em alvenaria.</v>
          </cell>
          <cell r="D117" t="str">
            <v>m</v>
          </cell>
          <cell r="F117">
            <v>3.3</v>
          </cell>
          <cell r="G117">
            <v>0</v>
          </cell>
        </row>
        <row r="118">
          <cell r="B118" t="str">
            <v>18.12.070</v>
          </cell>
          <cell r="C118" t="str">
            <v>Eletroduto de PVC rígido rosqueável de 1 1/4 pol., com luva de rosca interna, inclusive assentamento com rasgo em alvenaria.</v>
          </cell>
          <cell r="D118" t="str">
            <v>m</v>
          </cell>
          <cell r="F118">
            <v>4.3099999999999996</v>
          </cell>
          <cell r="G118">
            <v>0</v>
          </cell>
        </row>
        <row r="119">
          <cell r="B119" t="str">
            <v>18.13.080</v>
          </cell>
          <cell r="C119" t="str">
            <v>Eletroduto de PVC rígido rosqueável de 1 1/2 pol., com luva de rosca interna, inclusive assentamento com rasgo em alvenaria.</v>
          </cell>
          <cell r="D119" t="str">
            <v>m</v>
          </cell>
          <cell r="F119">
            <v>5.65</v>
          </cell>
          <cell r="G119">
            <v>0</v>
          </cell>
        </row>
        <row r="120">
          <cell r="B120" t="str">
            <v>18.13.085</v>
          </cell>
          <cell r="C120" t="str">
            <v>Fornecimento e colocação de eletroduto de ferro galvanizado de 3 ".</v>
          </cell>
          <cell r="D120" t="str">
            <v>m</v>
          </cell>
          <cell r="F120">
            <v>29.91</v>
          </cell>
        </row>
        <row r="121">
          <cell r="B121" t="str">
            <v>18.13.086</v>
          </cell>
          <cell r="C121" t="str">
            <v>Fornecimento e instalação de quadro de distribuição para telefone.</v>
          </cell>
          <cell r="D121" t="str">
            <v>un</v>
          </cell>
          <cell r="F121">
            <v>96.07</v>
          </cell>
        </row>
        <row r="122">
          <cell r="B122" t="str">
            <v>18.13.090</v>
          </cell>
          <cell r="C122" t="str">
            <v>Eletroduto de PVC rígido rosqueável de 2 pol., com luva de rosca interna, inclusive assentamento com rasgo em alvenaria.</v>
          </cell>
          <cell r="D122" t="str">
            <v>m</v>
          </cell>
          <cell r="F122">
            <v>7.33</v>
          </cell>
          <cell r="G122">
            <v>0</v>
          </cell>
        </row>
        <row r="123">
          <cell r="B123" t="str">
            <v>18.13.100</v>
          </cell>
          <cell r="C123" t="str">
            <v>Eletroduto de PVC rígido rosqueável de 3 pol., com luva de rosca interna, inclusive assentamento com rasgo em alvenaria.</v>
          </cell>
          <cell r="D123" t="str">
            <v>m</v>
          </cell>
          <cell r="F123">
            <v>13.81</v>
          </cell>
          <cell r="G123">
            <v>0</v>
          </cell>
        </row>
        <row r="124">
          <cell r="B124" t="str">
            <v>18.13.110</v>
          </cell>
          <cell r="C124" t="str">
            <v>Eletroduto de PVC rígido rosqueável de 1/2 pol., com luva de rosca interna assentado em valas com profundidade de 0,60 m, inclusive escavação e reaterro.</v>
          </cell>
          <cell r="D124" t="str">
            <v>m</v>
          </cell>
          <cell r="F124">
            <v>3.33</v>
          </cell>
          <cell r="G124">
            <v>0</v>
          </cell>
        </row>
        <row r="125">
          <cell r="B125" t="str">
            <v>18.13.120</v>
          </cell>
          <cell r="C125" t="str">
            <v>Eletroduto de PVC rígido rosqueável de 3/4 pol., com luva de rosca interna assentado em valas com profundidade de 0,60 m, inclusive escavação e reaterro.</v>
          </cell>
          <cell r="D125" t="str">
            <v>m</v>
          </cell>
          <cell r="F125">
            <v>4.01</v>
          </cell>
          <cell r="G125">
            <v>0</v>
          </cell>
        </row>
        <row r="126">
          <cell r="B126" t="str">
            <v>18.13.130</v>
          </cell>
          <cell r="C126" t="str">
            <v>Eletroduto de PVC rígido rosqueável de 1 pol., com luva de rosca interna assentado em valas com profundidade de 0,60 m, inclusive escavação e reaterro.</v>
          </cell>
          <cell r="D126" t="str">
            <v>m</v>
          </cell>
          <cell r="F126">
            <v>5.39</v>
          </cell>
          <cell r="G126">
            <v>0</v>
          </cell>
        </row>
        <row r="127">
          <cell r="B127" t="str">
            <v>18.13.140</v>
          </cell>
          <cell r="C127" t="str">
            <v>Eletroduto de PVC rígido rosqueável de 1 1/2 pol., com luva de rosca interna assentado em valas com profundidade de 0,60 m, inclusive escavação e reaterro.</v>
          </cell>
          <cell r="D127" t="str">
            <v>m</v>
          </cell>
          <cell r="F127">
            <v>6.99</v>
          </cell>
          <cell r="G127">
            <v>0</v>
          </cell>
        </row>
        <row r="128">
          <cell r="B128" t="str">
            <v>18.13.150</v>
          </cell>
          <cell r="C128" t="str">
            <v>Eletroduto de PVC rígido rosqueável de 2 pol., com luva de rosca interna assentado em valas com profundidade de 0,60 m, inclusive escavação e reaterro.</v>
          </cell>
          <cell r="D128" t="str">
            <v>m</v>
          </cell>
          <cell r="F128">
            <v>8.6199999999999992</v>
          </cell>
          <cell r="G128">
            <v>0</v>
          </cell>
        </row>
        <row r="129">
          <cell r="B129" t="str">
            <v>18.13.160</v>
          </cell>
          <cell r="C129" t="str">
            <v>Eletroduto de PVC rígido rosqueável de 3 pol., com luva de rosca interna assentado em valas com profundidade de 0,60 m, inclusive escavação e reaterro.</v>
          </cell>
          <cell r="D129" t="str">
            <v>m</v>
          </cell>
          <cell r="F129">
            <v>15.23</v>
          </cell>
          <cell r="G129">
            <v>0</v>
          </cell>
        </row>
        <row r="130">
          <cell r="B130" t="str">
            <v>18.13.170</v>
          </cell>
          <cell r="C130" t="str">
            <v>Eletroduto de PVC rígido rosqueável de 4 pol., com luva de rosca interna assentado em valas com profundidade de 0,60 m, inclusive escavação e reaterro.</v>
          </cell>
          <cell r="D130" t="str">
            <v>m</v>
          </cell>
          <cell r="F130">
            <v>22.81</v>
          </cell>
          <cell r="G130">
            <v>0</v>
          </cell>
        </row>
        <row r="132">
          <cell r="B132" t="str">
            <v>18.14</v>
          </cell>
        </row>
        <row r="133">
          <cell r="B133" t="str">
            <v>18.14.010</v>
          </cell>
          <cell r="C133" t="str">
            <v xml:space="preserve">Curva de PVC rígido rosqueável de 3/4 pol., com luva de rosca interna, inclusive assentado. </v>
          </cell>
          <cell r="D133" t="str">
            <v>un</v>
          </cell>
          <cell r="F133">
            <v>1.84</v>
          </cell>
          <cell r="G133">
            <v>0</v>
          </cell>
        </row>
        <row r="134">
          <cell r="B134" t="str">
            <v>18.14.020</v>
          </cell>
          <cell r="C134" t="str">
            <v xml:space="preserve">Curva de PVC rígido rosqueável de 1 pol., com luva de rosca interna, inclusive assentado. </v>
          </cell>
          <cell r="D134" t="str">
            <v>un</v>
          </cell>
          <cell r="F134">
            <v>2.6</v>
          </cell>
          <cell r="G134">
            <v>0</v>
          </cell>
        </row>
        <row r="135">
          <cell r="B135" t="str">
            <v>18.14.030</v>
          </cell>
          <cell r="C135" t="str">
            <v xml:space="preserve">Curva de PVC rígido rosqueável de 1 1/4 pol., com luva de rosca interna, inclusive assentado. </v>
          </cell>
          <cell r="D135" t="str">
            <v>un</v>
          </cell>
          <cell r="F135">
            <v>4.0999999999999996</v>
          </cell>
          <cell r="G135">
            <v>0</v>
          </cell>
        </row>
        <row r="136">
          <cell r="B136" t="str">
            <v>18.14.040</v>
          </cell>
          <cell r="C136" t="str">
            <v xml:space="preserve">Curva de PVC rígido rosqueável de 1 1/2 pol., com luva de rosca interna, inclusive assentado. </v>
          </cell>
          <cell r="D136" t="str">
            <v>un</v>
          </cell>
          <cell r="F136">
            <v>5.0999999999999996</v>
          </cell>
          <cell r="G136">
            <v>0</v>
          </cell>
        </row>
        <row r="137">
          <cell r="B137" t="str">
            <v>18.14.050</v>
          </cell>
          <cell r="C137" t="str">
            <v xml:space="preserve">Curva de PVC rígido rosqueável de 2 pol., com luva de rosca interna, inclusive assentado. </v>
          </cell>
          <cell r="D137" t="str">
            <v>un</v>
          </cell>
          <cell r="F137">
            <v>7.96</v>
          </cell>
          <cell r="G137">
            <v>0</v>
          </cell>
        </row>
        <row r="138">
          <cell r="B138" t="str">
            <v>18.14.060</v>
          </cell>
          <cell r="C138" t="str">
            <v xml:space="preserve">Curva de PVC rígido rosqueável de 3 pol., com luva de rosca interna, inclusive assentado. </v>
          </cell>
          <cell r="D138" t="str">
            <v>un</v>
          </cell>
          <cell r="F138">
            <v>23.46</v>
          </cell>
          <cell r="G138">
            <v>0</v>
          </cell>
        </row>
        <row r="139">
          <cell r="B139" t="str">
            <v>18.14.070</v>
          </cell>
          <cell r="C139" t="str">
            <v xml:space="preserve">Curva de PVC rígido rosqueável de 4 pol., com luva de rosca interna, inclusive assentado. </v>
          </cell>
          <cell r="D139" t="str">
            <v>un</v>
          </cell>
          <cell r="F139">
            <v>37.86</v>
          </cell>
          <cell r="G139">
            <v>0</v>
          </cell>
        </row>
        <row r="141">
          <cell r="B141" t="str">
            <v>18.15</v>
          </cell>
        </row>
        <row r="142">
          <cell r="B142" t="str">
            <v>18.15.010</v>
          </cell>
          <cell r="C142" t="str">
            <v>Caixa 4 x 2 pol. Tigreflex ou similar,  inclusive assentamento.</v>
          </cell>
          <cell r="D142" t="str">
            <v>un</v>
          </cell>
          <cell r="F142">
            <v>1.45</v>
          </cell>
          <cell r="G142">
            <v>0</v>
          </cell>
        </row>
        <row r="143">
          <cell r="B143" t="str">
            <v>18.15.020</v>
          </cell>
          <cell r="C143" t="str">
            <v>Caixa 4 x 4 pol. Tigreflex ou similar,  inclusive assentamento.</v>
          </cell>
          <cell r="D143" t="str">
            <v>un</v>
          </cell>
          <cell r="F143">
            <v>1.75</v>
          </cell>
          <cell r="G143">
            <v>0</v>
          </cell>
        </row>
        <row r="144">
          <cell r="B144" t="str">
            <v>18.15.030</v>
          </cell>
          <cell r="C144" t="str">
            <v>Caixa octogonal de 4" Tigreflex ou similar, com fundo móvel, inclusive assentaemnto em laje.</v>
          </cell>
          <cell r="D144" t="str">
            <v>un</v>
          </cell>
          <cell r="F144">
            <v>1.9</v>
          </cell>
          <cell r="G144">
            <v>0</v>
          </cell>
        </row>
        <row r="145">
          <cell r="B145" t="str">
            <v>18.15.035</v>
          </cell>
          <cell r="C145" t="str">
            <v>Fornecimento e colocação de caixa pré-moldada para ar-condicionado de 15.000 BTU's</v>
          </cell>
          <cell r="D145" t="str">
            <v>un</v>
          </cell>
          <cell r="F145">
            <v>73.38</v>
          </cell>
        </row>
        <row r="147">
          <cell r="B147" t="str">
            <v>18.16</v>
          </cell>
        </row>
        <row r="148">
          <cell r="B148" t="str">
            <v>18.16.010</v>
          </cell>
          <cell r="C148" t="str">
            <v>Tomada de embutir (2P+T) com placa para caixa de 4 x 2 pol., 20 A, 250 V, Pial (linha silentoque) ou similar, inclusive instalação.</v>
          </cell>
          <cell r="D148" t="str">
            <v>un</v>
          </cell>
          <cell r="F148">
            <v>7.08</v>
          </cell>
          <cell r="G148">
            <v>0</v>
          </cell>
        </row>
        <row r="149">
          <cell r="B149" t="str">
            <v>18.16.020</v>
          </cell>
          <cell r="C149" t="str">
            <v>Tomada de embutir para telefone quatro polos, Padrão Telebrás, com placa, para caixa de 4 x 2 pol., Pial (linha silentoque) ou similar, inclusive instalação.</v>
          </cell>
          <cell r="D149" t="str">
            <v>un</v>
          </cell>
          <cell r="F149">
            <v>6.55</v>
          </cell>
          <cell r="G149">
            <v>0</v>
          </cell>
        </row>
        <row r="151">
          <cell r="B151" t="str">
            <v>18.17</v>
          </cell>
        </row>
        <row r="152">
          <cell r="B152" t="str">
            <v>18.17.010</v>
          </cell>
          <cell r="C152" t="str">
            <v>Conjunto ARSTOP ou similar de embutir, em caixa 4 x 4 pol., com placa, tomada Tripolar para pino chato e disjuntor termomagnético de 25 A, 250 V, inclusive instalação.</v>
          </cell>
          <cell r="D152" t="str">
            <v>un</v>
          </cell>
          <cell r="F152">
            <v>20.72</v>
          </cell>
          <cell r="G152">
            <v>0</v>
          </cell>
        </row>
        <row r="154">
          <cell r="B154" t="str">
            <v>18.18</v>
          </cell>
        </row>
        <row r="155">
          <cell r="B155" t="str">
            <v>18.18.010</v>
          </cell>
          <cell r="C155" t="str">
            <v>Interruptor de embutir de uma secção para caixa de 4 x 2 pol., com placa, 10 A, 250 V, Pial (linha silentoque) ou similar, inclusive instalação.</v>
          </cell>
          <cell r="D155" t="str">
            <v>un</v>
          </cell>
          <cell r="F155">
            <v>3.9</v>
          </cell>
          <cell r="G155">
            <v>0</v>
          </cell>
        </row>
        <row r="156">
          <cell r="B156" t="str">
            <v>18.18.020</v>
          </cell>
          <cell r="C156" t="str">
            <v>Interruptor de embutir de duas secções para caixa de 4 x 2 pol., com placa, 10 A, 250 V, Pial (linha silentoque) ou similar, inclusive instalação.</v>
          </cell>
          <cell r="D156" t="str">
            <v>un</v>
          </cell>
          <cell r="F156">
            <v>6.76</v>
          </cell>
          <cell r="G156">
            <v>0</v>
          </cell>
        </row>
        <row r="157">
          <cell r="B157" t="str">
            <v>18.18.030</v>
          </cell>
          <cell r="C157" t="str">
            <v>Interruptor de embutir de três secções para caixa de 4 x 2 pol., com placa, 10 A, 250 V, Pial (linha silentoque) ou similar, inclusive instalação.</v>
          </cell>
          <cell r="D157" t="str">
            <v>un</v>
          </cell>
          <cell r="F157">
            <v>8.8800000000000008</v>
          </cell>
          <cell r="G157">
            <v>0</v>
          </cell>
        </row>
        <row r="158">
          <cell r="B158" t="str">
            <v>18.18.040</v>
          </cell>
          <cell r="C158" t="str">
            <v>Interruptor de embutir de uma secção conjugada com tomada, para caixa de 4 x 2 pol., com placa, 10 A, 250 V, Pial (linha silentoque) ou similar, inclusive instalação.</v>
          </cell>
          <cell r="D158" t="str">
            <v>un</v>
          </cell>
          <cell r="F158">
            <v>6.71</v>
          </cell>
          <cell r="G158">
            <v>0</v>
          </cell>
        </row>
        <row r="159">
          <cell r="B159" t="str">
            <v>18.18.050</v>
          </cell>
          <cell r="C159" t="str">
            <v>Interruptor de embutir de duas secções conjugada com tomada, para caixa de 4 x 2 pol., com placa, 10 A, 250 V, Pial (linha silentoque) ou similar, inclusive instalação.</v>
          </cell>
          <cell r="D159" t="str">
            <v>un</v>
          </cell>
          <cell r="F159">
            <v>8.93</v>
          </cell>
          <cell r="G159">
            <v>0</v>
          </cell>
        </row>
        <row r="160">
          <cell r="B160" t="str">
            <v>18.18.060</v>
          </cell>
          <cell r="C160" t="str">
            <v>Interruptor de embutir Three-Way (vai e vem), para caixa de 4 x 2 pol., com placa, 10 A, 250 V, Pial (linha silentoque) ou similar, inclusive instalação.</v>
          </cell>
          <cell r="D160" t="str">
            <v>un</v>
          </cell>
          <cell r="F160">
            <v>5.19</v>
          </cell>
          <cell r="G160">
            <v>0</v>
          </cell>
        </row>
        <row r="162">
          <cell r="B162" t="str">
            <v>18.19</v>
          </cell>
        </row>
        <row r="163">
          <cell r="B163" t="str">
            <v>18.19.010</v>
          </cell>
          <cell r="C163" t="str">
            <v>Fio de cobre, têmpera mole, classe 1, isolamento de PVC - 70 C, tipo BWF, 750 V, Foreplast ou similar, S.M. - 1,5 mm², inclusive instalação em eletroduto.</v>
          </cell>
          <cell r="D163" t="str">
            <v>m</v>
          </cell>
          <cell r="F163">
            <v>0.59</v>
          </cell>
          <cell r="G163">
            <v>0</v>
          </cell>
        </row>
        <row r="164">
          <cell r="B164" t="str">
            <v>18.19.020</v>
          </cell>
          <cell r="C164" t="str">
            <v>Fio de cobre, têmpera mole, classe 1, isolamento de PVC - 70 C, tipo BWF, 750 V, Foreplast ou similar, S.M. - 2,5 mm², inclusive instalação em eletroduto.</v>
          </cell>
          <cell r="D164" t="str">
            <v>m</v>
          </cell>
          <cell r="F164">
            <v>0.85</v>
          </cell>
          <cell r="G164">
            <v>0</v>
          </cell>
        </row>
        <row r="165">
          <cell r="B165" t="str">
            <v>18.19.025</v>
          </cell>
          <cell r="C165" t="str">
            <v>Cabro de cobre, têmpera mole, encordoamento classe 2, isolamento de PVC - 70 C, tipo BWF, 750 V, Foreplast ou similar, S.M. - 2,5 mm², inclusive instalação em eletroduto.</v>
          </cell>
          <cell r="D165" t="str">
            <v>m</v>
          </cell>
          <cell r="F165">
            <v>0.9</v>
          </cell>
          <cell r="G165">
            <v>0</v>
          </cell>
        </row>
        <row r="166">
          <cell r="B166" t="str">
            <v>18.19.030</v>
          </cell>
          <cell r="C166" t="str">
            <v>Cabo de cobre, têmpera mole, encordoamento classe 2, isolamento de PVC - 70 C, tipo BWF, 750 V, Foreplast ou similar, S.M. - 4,0 mm², inclusive instalação em eletroduto.</v>
          </cell>
          <cell r="D166" t="str">
            <v>m</v>
          </cell>
          <cell r="F166">
            <v>0.94</v>
          </cell>
          <cell r="G166">
            <v>0</v>
          </cell>
        </row>
        <row r="167">
          <cell r="B167" t="str">
            <v>18.19.040</v>
          </cell>
          <cell r="C167" t="str">
            <v>Cabo de cobre, têmpera mole, encordoamento classe 2, isolamento de PVC - 70 C, tipo BWF, 750 V, Foreplast ou similar, S.M. - 6,0 mm², inclusive instalação em eletroduto.</v>
          </cell>
          <cell r="D167" t="str">
            <v>m</v>
          </cell>
          <cell r="F167">
            <v>1.1299999999999999</v>
          </cell>
          <cell r="G167">
            <v>0</v>
          </cell>
        </row>
        <row r="168">
          <cell r="B168" t="str">
            <v>18.19.041</v>
          </cell>
          <cell r="C168" t="str">
            <v>Cabo de cobre, têmpera mole, encordoamento classe 2, isolamento de PVC - 70 C, tipo BWF, 750 V, Foreplast ou similar, S.M. - 10,0 mm², inclusive instalação em eletroduto.</v>
          </cell>
          <cell r="D168" t="str">
            <v>m</v>
          </cell>
          <cell r="F168">
            <v>1.6</v>
          </cell>
          <cell r="G168">
            <v>0</v>
          </cell>
        </row>
        <row r="169">
          <cell r="B169" t="str">
            <v>18.19.042</v>
          </cell>
          <cell r="C169" t="str">
            <v>Cabo de cobre, têmpera mole, encordoamento classe 2, isolamento de PVC - 70 C, tipo BWF, 750 V, Foreplast ou similar, S.M. - 16,0 mm², inclusive instalação em eletroduto.</v>
          </cell>
          <cell r="D169" t="str">
            <v>m</v>
          </cell>
          <cell r="F169">
            <v>2.11</v>
          </cell>
          <cell r="G169">
            <v>0</v>
          </cell>
        </row>
        <row r="170">
          <cell r="B170" t="str">
            <v>18.19.043</v>
          </cell>
          <cell r="C170" t="str">
            <v>Cabo de cobre, têmpera mole, encordoamento classe 2, isolamento de PVC - 70 C, tipo BWF, 750 V, Foreplast ou similar, S.M. - 25,0 mm², inclusive instalação em eletroduto.</v>
          </cell>
          <cell r="D170" t="str">
            <v>m</v>
          </cell>
          <cell r="F170">
            <v>2.93</v>
          </cell>
          <cell r="G170">
            <v>0</v>
          </cell>
        </row>
        <row r="171">
          <cell r="B171" t="str">
            <v>18.19.046</v>
          </cell>
          <cell r="C171" t="str">
            <v>Cabo de cobre (1 condutor), têmpera mole, encordoamento classe 2, isolamento de PVC - Flame Resistant - 70 C, 0,6 / 1 Kv, cobertura de PVC-ST 1, Foremax ou similar, S.M. - 1,5 mm², inclusive instalação em eletroduto.</v>
          </cell>
          <cell r="D171" t="str">
            <v>m</v>
          </cell>
          <cell r="F171">
            <v>0.69</v>
          </cell>
          <cell r="G171">
            <v>0</v>
          </cell>
        </row>
        <row r="172">
          <cell r="B172" t="str">
            <v>18.19.047</v>
          </cell>
          <cell r="C172" t="str">
            <v>Cabo de cobre (1 condutor), têmpera mole, encordoamento classe 2, isolamento de PVC - Flame Resistant - 70 C, 0,6 / 1 Kv, cobertura de PVC-ST 1, Foremax ou similar, S.M. - 2,5 mm², inclusive instalação em eletroduto.</v>
          </cell>
          <cell r="D172" t="str">
            <v>m</v>
          </cell>
          <cell r="F172">
            <v>0.83</v>
          </cell>
          <cell r="G172">
            <v>0</v>
          </cell>
        </row>
        <row r="173">
          <cell r="B173" t="str">
            <v>18.19.048</v>
          </cell>
          <cell r="C173" t="str">
            <v>Cabo de cobre (1 condutor), têmpera mole, encordoamento classe 2, isolamento de PVC - Flame Resistant - 70 C, 0,6 / 1 Kv, cobertura de PVC-ST 1, Foremax ou similar, S.M. - 4,0 mm², inclusive instalação em eletroduto.</v>
          </cell>
          <cell r="D173" t="str">
            <v>m</v>
          </cell>
          <cell r="F173">
            <v>1.29</v>
          </cell>
          <cell r="G173">
            <v>0</v>
          </cell>
        </row>
        <row r="174">
          <cell r="B174" t="str">
            <v>18.19.049</v>
          </cell>
          <cell r="C174" t="str">
            <v>Cabo de cobre (1 condutor), têmpera mole, encordoamento classe 2, isolamento de PVC - Flame Resistant - 70 C, 0,6 / 1 Kv, cobertura de PVC-ST 1, Foremax ou similar, S.M. - 6,0 mm², inclusive instalação em eletroduto.</v>
          </cell>
          <cell r="D174" t="str">
            <v>m</v>
          </cell>
          <cell r="F174">
            <v>1.56</v>
          </cell>
          <cell r="G174">
            <v>0</v>
          </cell>
        </row>
        <row r="175">
          <cell r="B175" t="str">
            <v>18.19.050</v>
          </cell>
          <cell r="C175" t="str">
            <v>Cabo de cobre (1 condutor), têmpera mole, encordoamento classe 2, isolamento de PVC - Flame Resistant - 70 C, 0,6 / 1 Kv, cobertura de PVC-ST 1, Foremax ou similar, S.M. - 10,0 mm², inclusive instalação em eletroduto.</v>
          </cell>
          <cell r="D175" t="str">
            <v>m</v>
          </cell>
          <cell r="F175">
            <v>2.06</v>
          </cell>
          <cell r="G175">
            <v>0</v>
          </cell>
        </row>
        <row r="176">
          <cell r="B176" t="str">
            <v>18.19.060</v>
          </cell>
          <cell r="C176" t="str">
            <v>Cabo de cobre (1 condutor), têmpera mole, encordoamento classe 2, isolamento de PVC - Flame Resistant - 70 C, 0,6 / 1 Kv, cobertura de PVC-ST 1, Foremax ou similar, S.M. - 16,0 mm², inclusive instalação em eletroduto.</v>
          </cell>
          <cell r="D176" t="str">
            <v>m</v>
          </cell>
          <cell r="F176">
            <v>2.9</v>
          </cell>
          <cell r="G176">
            <v>0</v>
          </cell>
        </row>
        <row r="177">
          <cell r="B177" t="str">
            <v>18.19.065</v>
          </cell>
          <cell r="C177" t="str">
            <v>Dec., de piso cimentado.</v>
          </cell>
          <cell r="F177">
            <v>9.1</v>
          </cell>
          <cell r="G177">
            <v>0</v>
          </cell>
        </row>
        <row r="178">
          <cell r="B178" t="str">
            <v>18.19.070</v>
          </cell>
          <cell r="C178" t="str">
            <v>Cabo de cobre (1 condutor), têmpera mole, encordoamento classe 2, isolamento de PVC - Flame Resistant - 70 C, 0,6 / 1 Kv, cobertura de PVC-ST 1, Foremax ou similar, S.M. - 25,0 mm², inclusive instalação em eletroduto.</v>
          </cell>
          <cell r="D178" t="str">
            <v>m</v>
          </cell>
          <cell r="F178">
            <v>3.85</v>
          </cell>
          <cell r="G178">
            <v>0</v>
          </cell>
        </row>
        <row r="179">
          <cell r="B179" t="str">
            <v>18.19.080</v>
          </cell>
          <cell r="C179" t="str">
            <v>Cabo de cobre (1 condutor), têmpera mole, encordoamento classe 2, isolamento de PVC - Flame Resistant - 70 C, 0,6 / 1 Kv, cobertura de PVC-ST 1, Foremax ou similar, S.M. - 35,0 mm², inclusive instalação em eletroduto.</v>
          </cell>
          <cell r="D179" t="str">
            <v>m</v>
          </cell>
          <cell r="F179">
            <v>4.91</v>
          </cell>
          <cell r="G179">
            <v>0</v>
          </cell>
        </row>
        <row r="180">
          <cell r="B180" t="str">
            <v>18.19.085</v>
          </cell>
          <cell r="C180" t="str">
            <v>Cabo de Cobre  com isolamento termoplástico para ligação dos postes, com 4,0 mm² - 28 A, inclusive instalação em eletroduto.</v>
          </cell>
          <cell r="D180" t="str">
            <v>m</v>
          </cell>
          <cell r="F180">
            <v>0.8</v>
          </cell>
          <cell r="G180">
            <v>0</v>
          </cell>
        </row>
        <row r="182">
          <cell r="B182" t="str">
            <v>18.20</v>
          </cell>
        </row>
        <row r="183">
          <cell r="B183" t="str">
            <v>18.20.010</v>
          </cell>
          <cell r="C183" t="str">
            <v>Disjuntor monopolar termomagnético até 30 A, 220 V, Eletromar ou similar, inclusive instalação em quadro de distribuição.</v>
          </cell>
          <cell r="D183" t="str">
            <v>un</v>
          </cell>
          <cell r="F183">
            <v>6.01</v>
          </cell>
          <cell r="G183">
            <v>0</v>
          </cell>
        </row>
        <row r="184">
          <cell r="B184" t="str">
            <v>18.20.020</v>
          </cell>
          <cell r="C184" t="str">
            <v>Disjuntor monopolar termomagnético até 35 a 50A, 220 V, Eletromar ou similar, inclusive instalação em quadro de distribuição.</v>
          </cell>
          <cell r="D184" t="str">
            <v>un</v>
          </cell>
          <cell r="F184">
            <v>8.06</v>
          </cell>
          <cell r="G184">
            <v>0</v>
          </cell>
        </row>
        <row r="185">
          <cell r="B185" t="str">
            <v>18.20.030</v>
          </cell>
          <cell r="C185" t="str">
            <v>Disjuntor tripolar termomagnético até 50 A 380, 220 V, Eletromar ou similar, inclusive instalação em quadro de distribuição.</v>
          </cell>
          <cell r="D185" t="str">
            <v>un</v>
          </cell>
          <cell r="F185">
            <v>30.85</v>
          </cell>
          <cell r="G185">
            <v>0</v>
          </cell>
        </row>
        <row r="186">
          <cell r="B186" t="str">
            <v>18.20.040</v>
          </cell>
          <cell r="C186" t="str">
            <v>Disjuntor tripolar termomagnético até 60 a 100 A, 380 V, Eletromar ou similar, inclusive instalação em quadro de distribuição.</v>
          </cell>
          <cell r="D186" t="str">
            <v>un</v>
          </cell>
          <cell r="F186">
            <v>45.39</v>
          </cell>
          <cell r="G186">
            <v>0</v>
          </cell>
        </row>
        <row r="187">
          <cell r="B187" t="str">
            <v>18.20.050</v>
          </cell>
          <cell r="C187" t="str">
            <v>Disjuntor tripolar termomagnético até 120 a 150 A, 380 V, Eletromar ou similar, inclusive instalação em quadro de distribuição.</v>
          </cell>
          <cell r="D187" t="str">
            <v>un</v>
          </cell>
          <cell r="F187">
            <v>115.39</v>
          </cell>
          <cell r="G187">
            <v>0</v>
          </cell>
        </row>
        <row r="188">
          <cell r="B188" t="str">
            <v>18.20.055</v>
          </cell>
          <cell r="C188" t="str">
            <v>Fornecimento e colocação de disjuntor 15 A.</v>
          </cell>
          <cell r="D188" t="str">
            <v>un</v>
          </cell>
          <cell r="F188">
            <v>7.67</v>
          </cell>
        </row>
        <row r="189">
          <cell r="B189" t="str">
            <v>18.20.056</v>
          </cell>
          <cell r="C189" t="str">
            <v>Fornecimento e colocação de disjuntor 50 A.</v>
          </cell>
          <cell r="D189" t="str">
            <v>un</v>
          </cell>
          <cell r="F189">
            <v>10.27</v>
          </cell>
        </row>
        <row r="190">
          <cell r="B190" t="str">
            <v>18.20.057</v>
          </cell>
          <cell r="C190" t="str">
            <v>Fornecimento e colocação de disjuntor tripolar 150 A (quadro de medição).</v>
          </cell>
          <cell r="D190" t="str">
            <v>un</v>
          </cell>
          <cell r="F190">
            <v>149.04</v>
          </cell>
        </row>
        <row r="192">
          <cell r="B192" t="str">
            <v>18.21</v>
          </cell>
        </row>
        <row r="193">
          <cell r="B193" t="str">
            <v>18.21.010</v>
          </cell>
          <cell r="C193" t="str">
            <v xml:space="preserve">Quadro de distribuição metálico de embutir, com barramento de neutro tipo com 600, eletromar ou similar, para até 6 circuitos momopolares, com sobretampa articulada provida de visor transparente, inclusive instalação. </v>
          </cell>
          <cell r="D193" t="str">
            <v>un</v>
          </cell>
          <cell r="F193">
            <v>49.2</v>
          </cell>
          <cell r="G193">
            <v>0</v>
          </cell>
        </row>
        <row r="194">
          <cell r="B194" t="str">
            <v>18.21.020</v>
          </cell>
          <cell r="C194" t="str">
            <v xml:space="preserve">Quadro de distribuição metálico de embutir, com barramento de neutro tipo com 600, eletromar ou similar, para até 8 circuitos momopolares, com sobretampa articulada provida de visor transparente, inclusive instalação. </v>
          </cell>
          <cell r="D194" t="str">
            <v>un</v>
          </cell>
          <cell r="F194">
            <v>52.3</v>
          </cell>
          <cell r="G194">
            <v>0</v>
          </cell>
        </row>
        <row r="196">
          <cell r="B196" t="str">
            <v>18.21.150</v>
          </cell>
          <cell r="C196" t="str">
            <v xml:space="preserve">Quadro de distribuição metálico de embutir, com barramento, chave geral e placa neutro ref. QDETN-12, Cemar ou similar, para até 12 circuitos momopolares, com porta, inclusive instalação. </v>
          </cell>
          <cell r="D196" t="str">
            <v>un</v>
          </cell>
          <cell r="F196">
            <v>50.64</v>
          </cell>
          <cell r="G196">
            <v>0</v>
          </cell>
        </row>
        <row r="197">
          <cell r="B197" t="str">
            <v>18.21.030</v>
          </cell>
          <cell r="C197" t="str">
            <v xml:space="preserve">Quadro de distribuição metálico de embutir, com barramento, chave geral e placa neutro tipo PQR 15 C, eletromar ou similar, para até 15 circuitos momopolares, com porta e trinco, inclusive instalação. </v>
          </cell>
          <cell r="D197" t="str">
            <v>un</v>
          </cell>
          <cell r="F197">
            <v>163.95</v>
          </cell>
          <cell r="G197">
            <v>0</v>
          </cell>
        </row>
        <row r="198">
          <cell r="B198" t="str">
            <v>18.21.035</v>
          </cell>
          <cell r="C198" t="str">
            <v xml:space="preserve">Quadro de distribuição metálico de embutir, com barramento, chave geral e placa neutro tipo PQR 18 CA, eletromar ou similar, para até 18 circuitos momopolares, com porta e trinco, inclusive instalação. </v>
          </cell>
          <cell r="D198" t="str">
            <v>un</v>
          </cell>
          <cell r="F198">
            <v>213.95</v>
          </cell>
          <cell r="G198">
            <v>0</v>
          </cell>
        </row>
        <row r="199">
          <cell r="B199" t="str">
            <v>18.21.170</v>
          </cell>
          <cell r="C199" t="str">
            <v xml:space="preserve">Quadro de distribuição metálico de embutir, com barramento, chave geral e placa neutro ref. QDETN-32 Cemar ou similar, para 32 , circuitos momopolares, com porta e trinco, inclusive instalação. </v>
          </cell>
          <cell r="D199" t="str">
            <v>un</v>
          </cell>
          <cell r="F199">
            <v>104.28</v>
          </cell>
          <cell r="G199">
            <v>0</v>
          </cell>
        </row>
        <row r="200">
          <cell r="B200" t="str">
            <v>18.21.045</v>
          </cell>
          <cell r="C200" t="str">
            <v>Luminária tipo globo leitoso completa.</v>
          </cell>
          <cell r="D200" t="str">
            <v>un</v>
          </cell>
          <cell r="F200">
            <v>24.83</v>
          </cell>
        </row>
        <row r="201">
          <cell r="B201" t="str">
            <v>18.21.050</v>
          </cell>
          <cell r="C201" t="str">
            <v xml:space="preserve">Quadro de distribuição metálico de embutir, com barramento, chave geral e placa neutro tipo PQR 30 CA, eletromar ou similar, para 30 , circuitos momopolares, com porta e trinco, inclusive instalação. </v>
          </cell>
          <cell r="D201" t="str">
            <v>un</v>
          </cell>
          <cell r="F201">
            <v>258.60000000000002</v>
          </cell>
          <cell r="G201">
            <v>0</v>
          </cell>
        </row>
        <row r="202">
          <cell r="B202" t="str">
            <v>18.21.060</v>
          </cell>
          <cell r="C202" t="str">
            <v xml:space="preserve">Quadro de distribuição metálico de embutir, sem barramento, tipo QCSP, Gomes ou similar, para até 3 circuitos momopolares, sem porta, inclusive instalação. </v>
          </cell>
          <cell r="D202" t="str">
            <v>un</v>
          </cell>
          <cell r="F202">
            <v>16.18</v>
          </cell>
          <cell r="G202">
            <v>0</v>
          </cell>
        </row>
        <row r="203">
          <cell r="B203" t="str">
            <v>18.21.070</v>
          </cell>
          <cell r="C203" t="str">
            <v xml:space="preserve">Quadro de distribuição metálico de embutir, sem barramento, tipo QCCP, Gomes ou similar, para até 3 circuitos momopolares, com porta, inclusive instalação. </v>
          </cell>
          <cell r="D203" t="str">
            <v>un</v>
          </cell>
          <cell r="F203">
            <v>16.78</v>
          </cell>
          <cell r="G203">
            <v>0</v>
          </cell>
        </row>
        <row r="204">
          <cell r="B204" t="str">
            <v>18.21.080</v>
          </cell>
          <cell r="C204" t="str">
            <v xml:space="preserve">Quadro de distribuição metálico de embutir, sem barramento, tipo QCCP, Gomes ou similar, para até 6 circuitos momopolares, com porta, inclusive instalação. </v>
          </cell>
          <cell r="D204" t="str">
            <v>un</v>
          </cell>
          <cell r="F204">
            <v>19.13</v>
          </cell>
          <cell r="G204">
            <v>0</v>
          </cell>
        </row>
        <row r="205">
          <cell r="B205" t="str">
            <v>18.21.090</v>
          </cell>
          <cell r="C205" t="str">
            <v xml:space="preserve">Quadro de distribuição metálico de embutir, sem barramento, tipo QCCP, Gomes ou similar, para até 12 circuitos momopolares, com porta, inclusive instalação. </v>
          </cell>
          <cell r="D205" t="str">
            <v>un</v>
          </cell>
          <cell r="F205">
            <v>24.78</v>
          </cell>
          <cell r="G205">
            <v>0</v>
          </cell>
        </row>
        <row r="206">
          <cell r="B206" t="str">
            <v>18.21.100</v>
          </cell>
          <cell r="C206" t="str">
            <v xml:space="preserve">Quadro de distribuição metálico de embutir, sem barramento, tipo QCCP, Gomes ou similar, para até 18 circuitos momopolares, com porta, inclusive instalação. </v>
          </cell>
          <cell r="D206" t="str">
            <v>un</v>
          </cell>
          <cell r="F206">
            <v>44.17</v>
          </cell>
          <cell r="G206">
            <v>0</v>
          </cell>
        </row>
        <row r="207">
          <cell r="B207" t="str">
            <v>18.21.160</v>
          </cell>
          <cell r="C207" t="str">
            <v xml:space="preserve">Quadro de distribuição metálico de embutir, com porta, coem barramento, chave geral e placa de neutro para até 20 circuitos momopolares, ref. QDETN-20, Cemar ou Similar, inclusive instalação. </v>
          </cell>
        </row>
        <row r="208">
          <cell r="B208" t="str">
            <v>18.21.160</v>
          </cell>
          <cell r="C208" t="str">
            <v xml:space="preserve">Quadro de distribuição metálico de embutir, com porta, coem barramento, chave geral e placa de neutro para até 20 circuitos momopolares, ref. QDETN-20, Cemar ou Similar, inclusive instalação. </v>
          </cell>
        </row>
        <row r="209">
          <cell r="B209" t="str">
            <v>18.22</v>
          </cell>
        </row>
        <row r="210">
          <cell r="B210" t="str">
            <v>18.22.005</v>
          </cell>
          <cell r="C210" t="str">
            <v>Fornecimento e instalação de módulo de  distribuição com barramento para 300 A.</v>
          </cell>
          <cell r="D210" t="str">
            <v>un</v>
          </cell>
          <cell r="F210">
            <v>1747.73</v>
          </cell>
        </row>
        <row r="211">
          <cell r="B211" t="str">
            <v>18.22.010</v>
          </cell>
          <cell r="D211" t="str">
            <v>pt</v>
          </cell>
          <cell r="F211">
            <v>18.059999999999999</v>
          </cell>
          <cell r="G211">
            <v>0</v>
          </cell>
        </row>
        <row r="212">
          <cell r="B212" t="str">
            <v>18.22.015</v>
          </cell>
          <cell r="C212" t="str">
            <v>Recuperação do quadro de medição existente (substação área)</v>
          </cell>
          <cell r="D212" t="str">
            <v>un</v>
          </cell>
          <cell r="F212">
            <v>251.95</v>
          </cell>
        </row>
        <row r="213">
          <cell r="B213" t="str">
            <v>18.22.016</v>
          </cell>
          <cell r="C213" t="str">
            <v>Fornecimento e colocação de cabo 50 mm² (substação ao módulo de distribuição)</v>
          </cell>
          <cell r="D213" t="str">
            <v>m</v>
          </cell>
          <cell r="F213">
            <v>9.75</v>
          </cell>
        </row>
        <row r="214">
          <cell r="B214" t="str">
            <v>18.22.020</v>
          </cell>
          <cell r="C214" t="str">
            <v>Ponto de interruptor de uma secção, Pial ou similar, inclusive tubulação PVC rígido, fiação, caixa 4 x 2 pol., Tigreflex ou similar placa e demais acessórios, até o ponto de luz.</v>
          </cell>
          <cell r="D214" t="str">
            <v>pt</v>
          </cell>
          <cell r="F214">
            <v>16.62</v>
          </cell>
          <cell r="G214">
            <v>0</v>
          </cell>
        </row>
        <row r="215">
          <cell r="B215" t="str">
            <v>18.22.030</v>
          </cell>
          <cell r="C215" t="str">
            <v>Ponto de interruptor de 2 secções, Pial ou similar, inclusive tubulação PVC rígido, fiação, caixa 4 x 2 pol., Tigreflex ou similar, placa e demais acessórios, até o ponto de luz.</v>
          </cell>
          <cell r="D215" t="str">
            <v>pt</v>
          </cell>
          <cell r="F215">
            <v>24.04</v>
          </cell>
          <cell r="G215">
            <v>0</v>
          </cell>
        </row>
        <row r="216">
          <cell r="B216" t="str">
            <v>18.22.040</v>
          </cell>
          <cell r="C216" t="str">
            <v>Ponto de interruptor de 3 secções, Pial ou similar, inclusive tubulação PVC rígido, fiação, caixa 4 x 2 pol., Tigreflex ou similar, placa e demais acessórios, até o ponto de luz.</v>
          </cell>
          <cell r="D216" t="str">
            <v>pt</v>
          </cell>
          <cell r="F216">
            <v>29.36</v>
          </cell>
          <cell r="G216">
            <v>0</v>
          </cell>
        </row>
        <row r="217">
          <cell r="B217" t="str">
            <v>18.22.050</v>
          </cell>
          <cell r="C217" t="str">
            <v>Ponto de interruptor Three-Way, Pial ou similar, inclusive tubulação PVC rígido, fiação, caixa 4 x 2 pol., Tigreflex ou similar, placa e demais acessórios, até o ponto de luz.</v>
          </cell>
          <cell r="D217" t="str">
            <v>pt</v>
          </cell>
          <cell r="F217">
            <v>47.79</v>
          </cell>
          <cell r="G217">
            <v>0</v>
          </cell>
        </row>
        <row r="218">
          <cell r="B218" t="str">
            <v>18.22.060</v>
          </cell>
          <cell r="C218" t="str">
            <v>Ponto de tomada universal (2P+1 T), Pial ou similar, inclusive tubulação PVC rígido, fiação, caixa 4 x 2 pol., Tigreflex ou similar, placa e demais acessórios, até o ponto de luz ou quadro de distribuição.</v>
          </cell>
          <cell r="D218" t="str">
            <v>pt</v>
          </cell>
          <cell r="F218">
            <v>29.94</v>
          </cell>
          <cell r="G218">
            <v>0</v>
          </cell>
        </row>
        <row r="219">
          <cell r="B219" t="str">
            <v>18.22.070</v>
          </cell>
          <cell r="C219" t="str">
            <v>Ponto de tomada universal (2P+1 T), Pial ou similar para 2000 W, inclusive tubulação PVC rígido, fiação, caixa 4 x 2 pol., Tigreflex ou similar, placa e demais acessórios, até o ponto de luz ou quadro de distribuição.</v>
          </cell>
          <cell r="D219" t="str">
            <v>pt</v>
          </cell>
          <cell r="F219">
            <v>44.67</v>
          </cell>
          <cell r="G219">
            <v>0</v>
          </cell>
        </row>
        <row r="220">
          <cell r="B220" t="str">
            <v>18.22.080</v>
          </cell>
          <cell r="C220" t="str">
            <v>Ponto de tomada para ar-condicionado com conjunto tipo Arstop ou similar, em caixa Tigreflex ou similar 4 x 4 pol., com placa, tomada tripolar para pino chato e disjuntor termomagnético de 25 A, inclusive tubulação de PVC rígido, fiação, aterramento e dem</v>
          </cell>
          <cell r="D220" t="str">
            <v>pt</v>
          </cell>
          <cell r="F220">
            <v>56.86</v>
          </cell>
          <cell r="G220">
            <v>0</v>
          </cell>
        </row>
        <row r="221">
          <cell r="B221" t="str">
            <v>18.22.085</v>
          </cell>
          <cell r="C221" t="str">
            <v xml:space="preserve">Ponto de tomada para ar-condicionado </v>
          </cell>
          <cell r="D221" t="str">
            <v>pt</v>
          </cell>
          <cell r="F221">
            <v>67.260000000000005</v>
          </cell>
        </row>
        <row r="222">
          <cell r="B222" t="str">
            <v>18.22.090</v>
          </cell>
          <cell r="C222" t="str">
            <v>Ponto de tomada para telefone, Pial ou similar, em caixa Tigreflex ou similar 4 x 2 pol., inclusive placa, tubulação de PVC rígido, fiação, caixas de passagem e demais acessórios, até a caixa de distribuição do pavimento.</v>
          </cell>
          <cell r="D222" t="str">
            <v>pt</v>
          </cell>
          <cell r="F222">
            <v>30.89</v>
          </cell>
          <cell r="G222">
            <v>0</v>
          </cell>
        </row>
        <row r="223">
          <cell r="B223" t="str">
            <v>18.22.091</v>
          </cell>
          <cell r="C223" t="str">
            <v>Instalação elétrica</v>
          </cell>
          <cell r="D223" t="str">
            <v>vb</v>
          </cell>
          <cell r="F223">
            <v>232.9</v>
          </cell>
          <cell r="G223">
            <v>0</v>
          </cell>
        </row>
        <row r="224">
          <cell r="B224" t="str">
            <v>18.22.095</v>
          </cell>
          <cell r="C224" t="str">
            <v>Ponto de tomada 220 V convencional.</v>
          </cell>
          <cell r="D224" t="str">
            <v>pt</v>
          </cell>
          <cell r="F224">
            <v>38.92</v>
          </cell>
        </row>
        <row r="225">
          <cell r="B225" t="str">
            <v>18.22.096</v>
          </cell>
          <cell r="C225" t="str">
            <v>Ramal de alimentação para ponto de telefone.</v>
          </cell>
          <cell r="D225" t="str">
            <v>vb</v>
          </cell>
          <cell r="F225">
            <v>413.4</v>
          </cell>
        </row>
        <row r="226">
          <cell r="B226" t="str">
            <v>18.22.100</v>
          </cell>
          <cell r="C226" t="str">
            <v>Ponto de campainha, inclusive caixa, cigarra, botão, espelho, tubulação PVC rígido, fiação e demais acessórios, até quadro de sinalização instalado no posto de enfermagem.</v>
          </cell>
          <cell r="D226" t="str">
            <v>pt</v>
          </cell>
          <cell r="F226">
            <v>44.69</v>
          </cell>
          <cell r="G226">
            <v>0</v>
          </cell>
        </row>
        <row r="227">
          <cell r="B227" t="str">
            <v>18.22.110</v>
          </cell>
          <cell r="C227" t="str">
            <v>Ponto para computador</v>
          </cell>
          <cell r="D227" t="str">
            <v>pt</v>
          </cell>
          <cell r="F227">
            <v>51.5</v>
          </cell>
        </row>
        <row r="229">
          <cell r="B229" t="str">
            <v>18.24</v>
          </cell>
        </row>
        <row r="230">
          <cell r="B230" t="str">
            <v>18.24.005</v>
          </cell>
          <cell r="C230" t="str">
            <v>Luminária tipo sobrepor aberta para 02 lâmpads fluorescente 40 W (calha trapezoidal) completa.</v>
          </cell>
          <cell r="D230" t="str">
            <v>un</v>
          </cell>
          <cell r="F230">
            <v>45.84</v>
          </cell>
        </row>
        <row r="231">
          <cell r="B231" t="str">
            <v>18.24.010</v>
          </cell>
          <cell r="C231" t="str">
            <v>Caixa de passagem subterrânea com dimensões internas 0,40 x 0,40 m, altura 0,60 m, sobre camada de brita com 0,10 m de espessura, pararedes em alvenaria e laje de tampa em concreto armado, inclusive escavaçào, remoção e reaterro.</v>
          </cell>
          <cell r="D231" t="str">
            <v>un</v>
          </cell>
          <cell r="F231">
            <v>19.91</v>
          </cell>
          <cell r="G231">
            <v>0</v>
          </cell>
        </row>
        <row r="232">
          <cell r="B232" t="str">
            <v>18.24.020</v>
          </cell>
          <cell r="C232" t="str">
            <v>Caixa de passagem subterrânea para entrada de rede telefônica, tipo R1 (até 35 pontos), com dimensões internas 0,60 x 0,35 m, altura 0,50 m, paredes em alvenaria, e laje de tampa em concreto armado, inclusive escavação, remoção e reaterro.</v>
          </cell>
          <cell r="D232" t="str">
            <v>un</v>
          </cell>
          <cell r="F232">
            <v>21.87</v>
          </cell>
          <cell r="G232">
            <v>0</v>
          </cell>
        </row>
        <row r="233">
          <cell r="B233" t="str">
            <v>18.24.030</v>
          </cell>
          <cell r="C233" t="str">
            <v>Caixa para ar condicionado</v>
          </cell>
          <cell r="D233" t="str">
            <v>un</v>
          </cell>
          <cell r="F233">
            <v>23.82</v>
          </cell>
        </row>
        <row r="235">
          <cell r="B235" t="str">
            <v>18.25</v>
          </cell>
        </row>
        <row r="236">
          <cell r="B236" t="str">
            <v>18.25.005</v>
          </cell>
          <cell r="C236" t="str">
            <v>Inatalação elétrica.</v>
          </cell>
          <cell r="D236" t="str">
            <v>vb</v>
          </cell>
          <cell r="F236">
            <v>91.2</v>
          </cell>
          <cell r="G236">
            <v>0</v>
          </cell>
        </row>
        <row r="237">
          <cell r="B237" t="str">
            <v>18.25.010</v>
          </cell>
          <cell r="C237" t="str">
            <v>Fornecimento e assentamento de luminária.</v>
          </cell>
          <cell r="D237" t="str">
            <v>un</v>
          </cell>
          <cell r="F237">
            <v>570</v>
          </cell>
          <cell r="G237">
            <v>0</v>
          </cell>
        </row>
        <row r="238">
          <cell r="B238" t="str">
            <v>18.25.020</v>
          </cell>
          <cell r="C238" t="str">
            <v>Luminária tipo sobrepor, aberta, para 2 lâmpadas fluorescente de 20 W, ref. TMS-500 Philips ou similar, inclusive reator alto fator de potência lâmpadas, demais acessórios e instalação.</v>
          </cell>
          <cell r="D238" t="str">
            <v>cj</v>
          </cell>
          <cell r="F238">
            <v>41.36</v>
          </cell>
          <cell r="G238">
            <v>0</v>
          </cell>
        </row>
        <row r="239">
          <cell r="B239" t="str">
            <v>18.25.030</v>
          </cell>
          <cell r="C239" t="str">
            <v>Luminária tipo sobrepor, aberta, para 1 lâmpada fluorescente de 40 W, ref. TMS-500 Philips ou similar, inclusive reator alto fator de potência lâmpadas, demais acessórios e instalação.</v>
          </cell>
          <cell r="D239" t="str">
            <v>cj</v>
          </cell>
          <cell r="F239">
            <v>35.770000000000003</v>
          </cell>
          <cell r="G239">
            <v>0</v>
          </cell>
        </row>
        <row r="240">
          <cell r="B240" t="str">
            <v>18.25.031</v>
          </cell>
          <cell r="C240" t="str">
            <v>Fechadura</v>
          </cell>
          <cell r="D240" t="str">
            <v>un</v>
          </cell>
          <cell r="F240">
            <v>39.9</v>
          </cell>
          <cell r="G240">
            <v>0</v>
          </cell>
        </row>
        <row r="241">
          <cell r="B241" t="str">
            <v>18.25.040</v>
          </cell>
          <cell r="C241" t="str">
            <v>Luminária tipo sobrepor, aberta, para 2 lâmpadas fluorescente de 32 W, ref. TMS-500 Philips ou similar, inclusive reator alto fator de potência lâmpadas, demais acessórios e instalação.</v>
          </cell>
          <cell r="D241" t="str">
            <v>cj</v>
          </cell>
          <cell r="F241">
            <v>51.13</v>
          </cell>
          <cell r="G241">
            <v>0</v>
          </cell>
        </row>
        <row r="242">
          <cell r="B242" t="str">
            <v>18.25.041</v>
          </cell>
          <cell r="C242" t="str">
            <v>Fornecimento e colocação de lâmpada fluorescente de 40 W.</v>
          </cell>
          <cell r="D242" t="str">
            <v>un</v>
          </cell>
          <cell r="F242">
            <v>5.8</v>
          </cell>
          <cell r="G242">
            <v>0</v>
          </cell>
        </row>
        <row r="243">
          <cell r="B243" t="str">
            <v>18.25.042</v>
          </cell>
          <cell r="C243" t="str">
            <v>Fornecimento e colocação de reator de 40 W.</v>
          </cell>
          <cell r="D243" t="str">
            <v>un</v>
          </cell>
          <cell r="F243">
            <v>8.5</v>
          </cell>
          <cell r="G243">
            <v>0</v>
          </cell>
        </row>
        <row r="244">
          <cell r="B244" t="str">
            <v>18.25.043</v>
          </cell>
          <cell r="C244" t="str">
            <v>Fornecimento e colocação de térmico com base.</v>
          </cell>
          <cell r="D244" t="str">
            <v>un</v>
          </cell>
          <cell r="F244">
            <v>1</v>
          </cell>
          <cell r="G244">
            <v>0</v>
          </cell>
        </row>
        <row r="245">
          <cell r="B245" t="str">
            <v>18.25.050</v>
          </cell>
          <cell r="C245" t="str">
            <v>Luminária tipo sobrepor, aberta, para 1 lâmpada fluorescente de 20 W, ref. 211-R A. B. Leão ou similar, inclusive reator alto fator de potência lâmpada, demais acessórios e instalação.</v>
          </cell>
          <cell r="D245" t="str">
            <v>cj</v>
          </cell>
          <cell r="F245">
            <v>22.57</v>
          </cell>
          <cell r="G245">
            <v>0</v>
          </cell>
        </row>
        <row r="246">
          <cell r="B246" t="str">
            <v>18.25.060</v>
          </cell>
          <cell r="C246" t="str">
            <v>Luminária tipo sobrepor, aberta, para 2 lâmpadas fluorescente de 20 W, ref. 211-R A. B. Leão ou similar, inclusive reator alto fator de potência lâmpada, demais acessórios e instalação.</v>
          </cell>
          <cell r="D246" t="str">
            <v>cj</v>
          </cell>
          <cell r="F246">
            <v>33.26</v>
          </cell>
          <cell r="G246">
            <v>0</v>
          </cell>
        </row>
        <row r="247">
          <cell r="B247" t="str">
            <v>18.25.070</v>
          </cell>
          <cell r="C247" t="str">
            <v>Luminária tipo sobrepor, aberta, para 1 lâmpada fluorescente de 40 W, ref. 211-R A. B. Leão ou similar, inclusive reator alto fator de potência lâmpada, demais acessórios e instalação.</v>
          </cell>
          <cell r="D247" t="str">
            <v>cj</v>
          </cell>
          <cell r="F247">
            <v>23.67</v>
          </cell>
          <cell r="G247">
            <v>0</v>
          </cell>
        </row>
        <row r="248">
          <cell r="B248" t="str">
            <v>18.25.071</v>
          </cell>
          <cell r="C248" t="str">
            <v>Fornecimento e colocação de lâmpada vapor de mercúrio 250 W.</v>
          </cell>
          <cell r="D248" t="str">
            <v>un</v>
          </cell>
          <cell r="F248">
            <v>16.54</v>
          </cell>
        </row>
        <row r="249">
          <cell r="B249" t="str">
            <v>18.25.080</v>
          </cell>
          <cell r="C249" t="str">
            <v>Luminária tipo sobrepor, aberta, para 2 lâmpadas fluorescente de 32 W, ref. 211-R A. B. Leão ou similar, inclusive reator alto fator de potência lâmpada, demais acessórios e instalação.</v>
          </cell>
          <cell r="D249" t="str">
            <v>cj</v>
          </cell>
          <cell r="F249">
            <v>35.26</v>
          </cell>
          <cell r="G249">
            <v>0</v>
          </cell>
        </row>
        <row r="250">
          <cell r="B250" t="str">
            <v>18.25.082</v>
          </cell>
          <cell r="C250" t="str">
            <v>Conjunto de reator 220 v / 60 HI - 2.000 W</v>
          </cell>
          <cell r="D250" t="str">
            <v>un</v>
          </cell>
        </row>
        <row r="251">
          <cell r="B251" t="str">
            <v>18.25.090</v>
          </cell>
          <cell r="C251" t="str">
            <v>Luminária tipo Drops em globo de vidro leitoso, ref. 515 A.B Leão, ou similar, completa, inclusive lâmpada e instalação.</v>
          </cell>
          <cell r="D251" t="str">
            <v>cj</v>
          </cell>
          <cell r="F251">
            <v>21.26</v>
          </cell>
          <cell r="G251">
            <v>0</v>
          </cell>
        </row>
        <row r="252">
          <cell r="B252" t="str">
            <v>18.25.095</v>
          </cell>
          <cell r="C252" t="str">
            <v>Lâmpada incandescende de 100 W</v>
          </cell>
          <cell r="D252" t="str">
            <v>un</v>
          </cell>
          <cell r="F252">
            <v>1.37</v>
          </cell>
          <cell r="G252">
            <v>0</v>
          </cell>
        </row>
        <row r="253">
          <cell r="B253" t="str">
            <v>18.25.100</v>
          </cell>
          <cell r="C253" t="str">
            <v>Luminária tipo Bedd (Prato), ref. 805 A.B. Leão ou similar, com pendente e suporte, inclusive lâmpada e instalação.</v>
          </cell>
          <cell r="D253" t="str">
            <v>cj</v>
          </cell>
          <cell r="F253">
            <v>30.6</v>
          </cell>
          <cell r="G253">
            <v>0</v>
          </cell>
        </row>
        <row r="254">
          <cell r="B254" t="str">
            <v>18.25.110</v>
          </cell>
          <cell r="C254" t="str">
            <v>Luminária tipo arandela, ref. 403 A.B.Leão ou similar, completa, inclusive lâmpada e instalação.</v>
          </cell>
          <cell r="D254" t="str">
            <v>cj</v>
          </cell>
          <cell r="F254">
            <v>23.41</v>
          </cell>
          <cell r="G254">
            <v>0</v>
          </cell>
        </row>
        <row r="255">
          <cell r="B255" t="str">
            <v>18.25.111</v>
          </cell>
          <cell r="C255" t="str">
            <v>Lâmpada fluorescente universal de 20 W, Phillips ou Osram, inclusive instalação.</v>
          </cell>
          <cell r="D255" t="str">
            <v>un</v>
          </cell>
          <cell r="F255">
            <v>5.5</v>
          </cell>
          <cell r="G255">
            <v>0</v>
          </cell>
        </row>
        <row r="256">
          <cell r="B256" t="str">
            <v>18.25.115</v>
          </cell>
          <cell r="C256" t="str">
            <v>Lâmpada de 40 W.</v>
          </cell>
          <cell r="D256" t="str">
            <v>un</v>
          </cell>
          <cell r="F256">
            <v>5.51</v>
          </cell>
          <cell r="G256">
            <v>0</v>
          </cell>
        </row>
        <row r="257">
          <cell r="B257" t="str">
            <v>18.25.116</v>
          </cell>
          <cell r="C257" t="str">
            <v>Reator</v>
          </cell>
          <cell r="D257" t="str">
            <v>un</v>
          </cell>
          <cell r="F257">
            <v>8.07</v>
          </cell>
          <cell r="G257">
            <v>0</v>
          </cell>
        </row>
        <row r="258">
          <cell r="B258" t="str">
            <v>18.25.117</v>
          </cell>
          <cell r="C258" t="str">
            <v>Reator com lâmpada a vapor de mercúrio.</v>
          </cell>
          <cell r="D258" t="str">
            <v>un</v>
          </cell>
          <cell r="F258">
            <v>54.54</v>
          </cell>
          <cell r="G258">
            <v>0</v>
          </cell>
        </row>
        <row r="259">
          <cell r="B259" t="str">
            <v>18.25.118</v>
          </cell>
          <cell r="C259" t="str">
            <v>Reator para lâmpada fluorescente de 40 W, Phillips ou Osram, inclusive instalação.</v>
          </cell>
          <cell r="D259" t="str">
            <v>un</v>
          </cell>
          <cell r="G259">
            <v>0</v>
          </cell>
        </row>
        <row r="260">
          <cell r="B260" t="str">
            <v>18.25.117</v>
          </cell>
          <cell r="C260" t="str">
            <v>Reator exter.408/E AB Leào ou similar, completo com lâmpada a vapor de mercúrio de 250 m, reator de potência instalações e acessórios correspondentes</v>
          </cell>
          <cell r="D260" t="str">
            <v>un</v>
          </cell>
          <cell r="F260">
            <v>62.18</v>
          </cell>
        </row>
        <row r="261">
          <cell r="B261" t="str">
            <v>18.25.119</v>
          </cell>
          <cell r="C261" t="str">
            <v>Luminária tipo tartaruga.</v>
          </cell>
          <cell r="D261" t="str">
            <v>cj</v>
          </cell>
        </row>
        <row r="262">
          <cell r="B262" t="str">
            <v>18.25.120</v>
          </cell>
          <cell r="C262" t="str">
            <v>Luminária de jardim.</v>
          </cell>
          <cell r="D262" t="str">
            <v>cj</v>
          </cell>
          <cell r="F262">
            <v>75</v>
          </cell>
        </row>
        <row r="263">
          <cell r="B263" t="str">
            <v>18.25.130</v>
          </cell>
          <cell r="C263" t="str">
            <v>Luminária tipo Stop, ref. 401 - P A.B. Leão ou similar, completa, inclusive lâmpada e instalção.</v>
          </cell>
          <cell r="D263" t="str">
            <v>cj</v>
          </cell>
          <cell r="F263">
            <v>11.54</v>
          </cell>
          <cell r="G263">
            <v>0</v>
          </cell>
        </row>
        <row r="264">
          <cell r="B264" t="str">
            <v>18.25.140</v>
          </cell>
          <cell r="C264" t="str">
            <v xml:space="preserve">Refletor externo ref. 408 / E A.B. Leão ou similar, completo,  inclusive lâmpada e instalação. </v>
          </cell>
          <cell r="D264" t="str">
            <v>cj</v>
          </cell>
          <cell r="F264">
            <v>30.6</v>
          </cell>
          <cell r="G264">
            <v>0</v>
          </cell>
        </row>
        <row r="265">
          <cell r="B265" t="str">
            <v>18.25.145</v>
          </cell>
          <cell r="C265" t="str">
            <v>Fornecimento e colocação de refletor externo DN 30, inclusive ponto de luz.</v>
          </cell>
          <cell r="D265" t="str">
            <v>cj</v>
          </cell>
          <cell r="F265">
            <v>96.24</v>
          </cell>
        </row>
        <row r="266">
          <cell r="B266" t="str">
            <v>18.25.170</v>
          </cell>
          <cell r="C266" t="str">
            <v>Luminária para lâmpada a vapor de mercúrio de 125 W, ref. ABL 50 / F A.B. Leão ou similar, completa, inclusive branco, lâmpada, reator alto de potência e instalação.</v>
          </cell>
          <cell r="D266" t="str">
            <v>cj</v>
          </cell>
          <cell r="F266">
            <v>109.45</v>
          </cell>
          <cell r="G266">
            <v>0</v>
          </cell>
        </row>
        <row r="267">
          <cell r="B267" t="str">
            <v>18.25.180</v>
          </cell>
          <cell r="C267" t="str">
            <v>Luminária para lâmpada a vapor de mercúrio de 250 W, ref. ABL 50 / F A.B. Leão ou similar, completa, inclusive braço, lâmpada, reator alto fator de potência e instalação.</v>
          </cell>
          <cell r="D267" t="str">
            <v>cj</v>
          </cell>
          <cell r="F267">
            <v>202.97</v>
          </cell>
          <cell r="G267">
            <v>0</v>
          </cell>
        </row>
        <row r="268">
          <cell r="B268" t="str">
            <v>18.25.183</v>
          </cell>
          <cell r="C268" t="str">
            <v>Galpão industrial simples</v>
          </cell>
          <cell r="D268" t="str">
            <v>vb</v>
          </cell>
          <cell r="F268">
            <v>1219.8</v>
          </cell>
          <cell r="G268">
            <v>0</v>
          </cell>
        </row>
        <row r="269">
          <cell r="B269" t="str">
            <v>18.25.184</v>
          </cell>
          <cell r="C269" t="str">
            <v>Escultura</v>
          </cell>
          <cell r="D269" t="str">
            <v>vb</v>
          </cell>
          <cell r="F269">
            <v>2089.9899999999998</v>
          </cell>
          <cell r="G269">
            <v>0</v>
          </cell>
        </row>
        <row r="270">
          <cell r="B270" t="str">
            <v>18.25.185</v>
          </cell>
          <cell r="C270" t="str">
            <v>Idenização de barraca de tábua.</v>
          </cell>
          <cell r="D270" t="str">
            <v>vb</v>
          </cell>
          <cell r="F270">
            <v>894.9</v>
          </cell>
          <cell r="G270">
            <v>0</v>
          </cell>
        </row>
        <row r="271">
          <cell r="B271" t="str">
            <v>18.25.186</v>
          </cell>
          <cell r="C271" t="str">
            <v xml:space="preserve">Idenização de barraca </v>
          </cell>
          <cell r="D271" t="str">
            <v>vb</v>
          </cell>
          <cell r="F271">
            <v>1281.3599999999999</v>
          </cell>
          <cell r="G271">
            <v>0</v>
          </cell>
        </row>
        <row r="272">
          <cell r="B272" t="str">
            <v>18.25.187</v>
          </cell>
          <cell r="C272" t="str">
            <v>Desapropriação de terreno e edificações.</v>
          </cell>
          <cell r="D272" t="str">
            <v>vb</v>
          </cell>
          <cell r="F272">
            <v>3251755</v>
          </cell>
          <cell r="G272">
            <v>0</v>
          </cell>
        </row>
        <row r="273">
          <cell r="B273" t="str">
            <v>18.25.188</v>
          </cell>
          <cell r="C273" t="str">
            <v>Grelha de ferro</v>
          </cell>
          <cell r="D273" t="str">
            <v>vb</v>
          </cell>
          <cell r="F273">
            <v>1432.27</v>
          </cell>
          <cell r="G273">
            <v>0</v>
          </cell>
        </row>
        <row r="274">
          <cell r="B274" t="str">
            <v>18.25.190</v>
          </cell>
          <cell r="C274" t="str">
            <v>Luminária para lâmpada a vapor de mercúrio de 125 W, ref. ABL 50 / A.B. Leão ou similar, completa, inclusive braço, lâmpada, reator alto fator de potência e instalação.</v>
          </cell>
          <cell r="D274" t="str">
            <v>cj</v>
          </cell>
          <cell r="F274">
            <v>99.95</v>
          </cell>
          <cell r="G274">
            <v>0</v>
          </cell>
        </row>
        <row r="275">
          <cell r="B275" t="str">
            <v>18.25.200</v>
          </cell>
          <cell r="C275" t="str">
            <v>Luminária para lâmpada a vapor de mercúrio de 250 W, ref. ABL 50 / A.B. Leão ou similar, completa, inclusive braço, lâmpada, reator alto fator de potência e instalação.</v>
          </cell>
          <cell r="D275" t="str">
            <v>cj</v>
          </cell>
          <cell r="F275">
            <v>113.35</v>
          </cell>
          <cell r="G275">
            <v>0</v>
          </cell>
        </row>
        <row r="276">
          <cell r="B276" t="str">
            <v>18.25.210</v>
          </cell>
          <cell r="C276" t="str">
            <v>Luminária para lâmpada a vapor de mercúrio de 400 W, ref. ABL 50 / 400 A.B. Leão ou similar, completa, inclusive braço, lâmpada, reator alto fator de potência e instalação.</v>
          </cell>
          <cell r="D276" t="str">
            <v>un</v>
          </cell>
          <cell r="F276">
            <v>176.95</v>
          </cell>
          <cell r="G276">
            <v>0</v>
          </cell>
        </row>
        <row r="277">
          <cell r="B277" t="str">
            <v>18.25.211</v>
          </cell>
          <cell r="C277" t="str">
            <v>Projetor com uma lâmpada de vapor metálico de 2.000 W</v>
          </cell>
          <cell r="D277" t="str">
            <v>un</v>
          </cell>
        </row>
        <row r="279">
          <cell r="B279" t="str">
            <v>18.26</v>
          </cell>
        </row>
        <row r="280">
          <cell r="B280" t="str">
            <v>18.26.010</v>
          </cell>
          <cell r="C280" t="str">
            <v>Assentamento de haste de aterramento de 5/8" x 2,40 m Copperweld ou similar, com conector paralelo e parafusos (inclusive o fornecimento do material).</v>
          </cell>
          <cell r="D280" t="str">
            <v>un</v>
          </cell>
          <cell r="F280">
            <v>19.190000000000001</v>
          </cell>
          <cell r="G280">
            <v>0</v>
          </cell>
        </row>
        <row r="281">
          <cell r="B281" t="str">
            <v>18.26.020</v>
          </cell>
          <cell r="C281" t="str">
            <v xml:space="preserve">Assentamento de bengala de PVC rígido de 3/4 pol., marca Tigre ou similar, inclusive rasgo em alvenaria e fornecimento do material. </v>
          </cell>
          <cell r="D281" t="str">
            <v>un</v>
          </cell>
          <cell r="F281">
            <v>10.37</v>
          </cell>
          <cell r="G281">
            <v>0</v>
          </cell>
        </row>
        <row r="282">
          <cell r="B282" t="str">
            <v>18.26.025</v>
          </cell>
          <cell r="C282" t="str">
            <v>Assentamento de bengala 1".</v>
          </cell>
          <cell r="D282" t="str">
            <v>un</v>
          </cell>
          <cell r="F282">
            <v>8.4600000000000009</v>
          </cell>
          <cell r="G282">
            <v>0</v>
          </cell>
        </row>
        <row r="283">
          <cell r="B283" t="str">
            <v>18.26.030</v>
          </cell>
          <cell r="C283" t="str">
            <v>Assentamento de chave de boia automática, 15 A, superior ou inferior marca lenz ou similar (inclusive o fornecimento do material).</v>
          </cell>
          <cell r="D283" t="str">
            <v>un</v>
          </cell>
          <cell r="F283">
            <v>16.21</v>
          </cell>
          <cell r="G283">
            <v>0</v>
          </cell>
        </row>
        <row r="284">
          <cell r="B284" t="str">
            <v>18.26.040</v>
          </cell>
          <cell r="C284" t="str">
            <v>Assentamento de chave reversora blindada 30 A, 500 V, Eletromar ou similar (inclusive o fornecimento do material).</v>
          </cell>
          <cell r="D284" t="str">
            <v>un</v>
          </cell>
          <cell r="F284">
            <v>53.26</v>
          </cell>
          <cell r="G284">
            <v>0</v>
          </cell>
        </row>
        <row r="285">
          <cell r="B285" t="str">
            <v>18.26.045</v>
          </cell>
          <cell r="C285" t="str">
            <v>Assentamento de chave reversora blindada 30 A, 250 V, Eletromar ou similar (inclusive o fornecimento do material).</v>
          </cell>
          <cell r="D285" t="str">
            <v>un</v>
          </cell>
          <cell r="F285">
            <v>49.58</v>
          </cell>
          <cell r="G285">
            <v>0</v>
          </cell>
        </row>
        <row r="286">
          <cell r="B286" t="str">
            <v>18.26.050</v>
          </cell>
          <cell r="C286" t="str">
            <v>Assentamento de chave magnético guarda-motor até 7,5 cv, Eletromar ou similar (inclusive fornecimento do material)</v>
          </cell>
          <cell r="D286" t="str">
            <v>un</v>
          </cell>
          <cell r="F286">
            <v>140.63</v>
          </cell>
          <cell r="G286">
            <v>0</v>
          </cell>
        </row>
        <row r="287">
          <cell r="B287" t="str">
            <v>18.26.060</v>
          </cell>
          <cell r="C287" t="str">
            <v>Assentamento de chave magnética de 2 x 30 A para comando de iluminação pública, acionada para rele foto-elétrico NA, 220 V, 60 HZ, tipo lux control modelo CIP - F / 70, (inclusive fornecimento do material).</v>
          </cell>
          <cell r="D287" t="str">
            <v>un</v>
          </cell>
          <cell r="F287">
            <v>198.6</v>
          </cell>
          <cell r="G287">
            <v>0</v>
          </cell>
        </row>
        <row r="288">
          <cell r="B288" t="str">
            <v>18.26.065</v>
          </cell>
          <cell r="C288" t="str">
            <v>Fornecimento e colocação de braçadeiras para fixação dos eletrodutos.</v>
          </cell>
          <cell r="D288" t="str">
            <v>un</v>
          </cell>
          <cell r="F288">
            <v>1.43</v>
          </cell>
        </row>
        <row r="289">
          <cell r="B289" t="str">
            <v>18.26.070</v>
          </cell>
          <cell r="C289" t="str">
            <v>Lixeira.</v>
          </cell>
          <cell r="D289" t="str">
            <v>un</v>
          </cell>
          <cell r="F289">
            <v>12.88</v>
          </cell>
        </row>
        <row r="290">
          <cell r="B290" t="str">
            <v>18.26.071</v>
          </cell>
          <cell r="C290" t="str">
            <v>Confecção de lixeira em fibra Gless</v>
          </cell>
          <cell r="D290" t="str">
            <v>un</v>
          </cell>
          <cell r="F290">
            <v>76.87</v>
          </cell>
        </row>
        <row r="291">
          <cell r="B291" t="str">
            <v>18.26.072</v>
          </cell>
          <cell r="C291" t="str">
            <v>Colocação de calha em PVC para proteção de instalação elétrica aparente.</v>
          </cell>
          <cell r="D291" t="str">
            <v>m</v>
          </cell>
          <cell r="F291">
            <v>1.29</v>
          </cell>
        </row>
      </sheetData>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2"/>
      <sheetName val="Medição - C- preço "/>
      <sheetName val="Mem camarões"/>
      <sheetName val="PLANILHA CAMARÕES"/>
    </sheetNames>
    <sheetDataSet>
      <sheetData sheetId="0" refreshError="1"/>
      <sheetData sheetId="1"/>
      <sheetData sheetId="2"/>
      <sheetData sheetId="3">
        <row r="10">
          <cell r="A10">
            <v>1</v>
          </cell>
          <cell r="B10" t="str">
            <v>01.00.00</v>
          </cell>
          <cell r="D10" t="str">
            <v xml:space="preserve"> INSTALAÇÃO DA OBRA                                 </v>
          </cell>
          <cell r="E10">
            <v>0</v>
          </cell>
        </row>
        <row r="11">
          <cell r="A11">
            <v>2</v>
          </cell>
          <cell r="B11" t="str">
            <v>01.01.00</v>
          </cell>
          <cell r="D11" t="str">
            <v xml:space="preserve"> ESCRITORIO DE OBRA                                 </v>
          </cell>
          <cell r="E11">
            <v>0</v>
          </cell>
        </row>
        <row r="12">
          <cell r="A12">
            <v>3</v>
          </cell>
          <cell r="B12" t="str">
            <v>01.01.09</v>
          </cell>
          <cell r="D12" t="str">
            <v xml:space="preserve"> ESCRITÓRIO DE FISCALIZAÇÃO TIPO II                 </v>
          </cell>
          <cell r="E12" t="str">
            <v xml:space="preserve"> UN   </v>
          </cell>
          <cell r="F12">
            <v>1</v>
          </cell>
          <cell r="G12">
            <v>5982.24</v>
          </cell>
          <cell r="H12">
            <v>5982.24</v>
          </cell>
        </row>
        <row r="13">
          <cell r="A13">
            <v>4</v>
          </cell>
          <cell r="B13" t="str">
            <v>01.01.12</v>
          </cell>
          <cell r="D13" t="str">
            <v xml:space="preserve"> ESCRITÓRIO DA EMPREITEIRA TIPO II                  </v>
          </cell>
          <cell r="E13" t="str">
            <v xml:space="preserve"> UN   </v>
          </cell>
          <cell r="F13">
            <v>1</v>
          </cell>
          <cell r="G13">
            <v>5982.24</v>
          </cell>
          <cell r="H13">
            <v>5982.24</v>
          </cell>
        </row>
        <row r="14">
          <cell r="A14">
            <v>5</v>
          </cell>
          <cell r="B14" t="str">
            <v>01.02.00</v>
          </cell>
          <cell r="D14" t="str">
            <v xml:space="preserve"> BARRACÃO DE OBRA                                   </v>
          </cell>
        </row>
        <row r="15">
          <cell r="A15">
            <v>5</v>
          </cell>
          <cell r="B15" t="str">
            <v>01.02.08</v>
          </cell>
          <cell r="D15" t="str">
            <v xml:space="preserve"> VESTIÁRIO TIPO III                                 </v>
          </cell>
          <cell r="E15" t="str">
            <v xml:space="preserve"> UN   </v>
          </cell>
          <cell r="F15">
            <v>2</v>
          </cell>
          <cell r="G15">
            <v>10358.07</v>
          </cell>
          <cell r="H15">
            <v>20716.14</v>
          </cell>
        </row>
        <row r="16">
          <cell r="A16">
            <v>7</v>
          </cell>
          <cell r="B16" t="str">
            <v>01.02.11</v>
          </cell>
          <cell r="D16" t="str">
            <v xml:space="preserve"> ÁREA COBERTA EM TELHA ONDULADA DE FIBROCIMENTO 4MM </v>
          </cell>
          <cell r="E16" t="str">
            <v xml:space="preserve"> M2   </v>
          </cell>
          <cell r="F16">
            <v>200</v>
          </cell>
          <cell r="G16">
            <v>41.56</v>
          </cell>
          <cell r="H16">
            <v>8312</v>
          </cell>
        </row>
        <row r="17">
          <cell r="A17">
            <v>8</v>
          </cell>
          <cell r="B17" t="str">
            <v>01.02.14</v>
          </cell>
          <cell r="D17" t="str">
            <v xml:space="preserve"> DEPÓSITO E FERRAMENTARIA TIPO III                  </v>
          </cell>
          <cell r="E17" t="str">
            <v xml:space="preserve"> UN   </v>
          </cell>
          <cell r="F17">
            <v>2</v>
          </cell>
          <cell r="G17">
            <v>5590.34</v>
          </cell>
          <cell r="H17">
            <v>11180.68</v>
          </cell>
        </row>
        <row r="18">
          <cell r="A18">
            <v>9</v>
          </cell>
          <cell r="B18" t="str">
            <v>01.02.15</v>
          </cell>
          <cell r="D18" t="str">
            <v xml:space="preserve"> DEPÓSITO DE MATEIRAIS ENSACADOS </v>
          </cell>
          <cell r="E18" t="str">
            <v xml:space="preserve"> UN   </v>
          </cell>
          <cell r="F18">
            <v>2</v>
          </cell>
          <cell r="G18">
            <v>2459.88</v>
          </cell>
          <cell r="H18">
            <v>4919.76</v>
          </cell>
        </row>
        <row r="19">
          <cell r="A19">
            <v>10</v>
          </cell>
          <cell r="B19" t="str">
            <v>01.02.22</v>
          </cell>
          <cell r="D19" t="str">
            <v xml:space="preserve"> INSTALAÇÃO SANITÁRIA TIPO III                      </v>
          </cell>
          <cell r="E19" t="str">
            <v xml:space="preserve"> UN   </v>
          </cell>
          <cell r="F19">
            <v>2</v>
          </cell>
          <cell r="G19">
            <v>7738.86</v>
          </cell>
          <cell r="H19">
            <v>15477.72</v>
          </cell>
        </row>
        <row r="20">
          <cell r="A20">
            <v>11</v>
          </cell>
          <cell r="B20" t="str">
            <v>01.02.26</v>
          </cell>
          <cell r="D20" t="str">
            <v xml:space="preserve"> REFEITÓRIO TIPO II</v>
          </cell>
          <cell r="E20" t="str">
            <v xml:space="preserve"> UN   </v>
          </cell>
          <cell r="F20">
            <v>2</v>
          </cell>
          <cell r="G20">
            <v>3777.78</v>
          </cell>
          <cell r="H20">
            <v>7555.56</v>
          </cell>
        </row>
        <row r="21">
          <cell r="A21">
            <v>12</v>
          </cell>
          <cell r="B21" t="str">
            <v>01.02.29</v>
          </cell>
          <cell r="D21" t="str">
            <v xml:space="preserve"> CONTAINER ESCRITORIO 6,0M (COMPRIMENTO) X 2,50M (ALTURA-PE  DIREITO) X 2,30M (LARGURA)</v>
          </cell>
          <cell r="E21" t="str">
            <v xml:space="preserve"> MES  </v>
          </cell>
          <cell r="F21">
            <v>24</v>
          </cell>
          <cell r="G21">
            <v>579.69000000000005</v>
          </cell>
          <cell r="H21">
            <v>13912.560000000001</v>
          </cell>
        </row>
        <row r="22">
          <cell r="A22">
            <v>13</v>
          </cell>
          <cell r="B22" t="str">
            <v>01.02.30</v>
          </cell>
          <cell r="D22" t="str">
            <v xml:space="preserve"> CONTAINER SANITÁRIO 4,0M (COMPRIMENTO) X 2,50M (ALTURA-PE DIREITO) X 2,30M (LARGURA)</v>
          </cell>
          <cell r="E22" t="str">
            <v xml:space="preserve"> MES  </v>
          </cell>
          <cell r="F22">
            <v>24</v>
          </cell>
          <cell r="G22">
            <v>789.92</v>
          </cell>
          <cell r="H22">
            <v>18958.079999999998</v>
          </cell>
        </row>
        <row r="23">
          <cell r="A23">
            <v>14</v>
          </cell>
          <cell r="B23" t="str">
            <v>01.02.31</v>
          </cell>
          <cell r="D23" t="str">
            <v xml:space="preserve"> CONTAINER ALMOXARIFADO 6,0M (COMPRIMENTO) X 2,50M (ALTURA-PE DIREITO) X 2,30M (LARGURA)</v>
          </cell>
          <cell r="E23" t="str">
            <v xml:space="preserve"> MES  </v>
          </cell>
          <cell r="F23">
            <v>24</v>
          </cell>
          <cell r="G23">
            <v>505.8</v>
          </cell>
          <cell r="H23">
            <v>12139.2</v>
          </cell>
        </row>
        <row r="24">
          <cell r="A24">
            <v>15</v>
          </cell>
          <cell r="B24" t="str">
            <v>01.02.32</v>
          </cell>
          <cell r="D24" t="str">
            <v>CONTAINER REFEITÓRIO 6,0M (COMPRIMENTO) X 2,50M (ALTURA-PE DIREITO) X 2,30M (LARGURA)</v>
          </cell>
          <cell r="E24" t="str">
            <v xml:space="preserve"> MES  </v>
          </cell>
          <cell r="F24">
            <v>24</v>
          </cell>
          <cell r="G24">
            <v>579.69000000000005</v>
          </cell>
          <cell r="H24">
            <v>13912.560000000001</v>
          </cell>
        </row>
        <row r="25">
          <cell r="A25">
            <v>16</v>
          </cell>
          <cell r="B25" t="str">
            <v>01.03.00</v>
          </cell>
          <cell r="D25" t="str">
            <v xml:space="preserve"> PLACA DE OBRA AFIXADA COM PEÇAS DE MADEIRA 8X12CM  </v>
          </cell>
          <cell r="E25">
            <v>0</v>
          </cell>
        </row>
        <row r="26">
          <cell r="A26">
            <v>17</v>
          </cell>
          <cell r="B26" t="str">
            <v>01.03.01</v>
          </cell>
          <cell r="D26" t="str">
            <v xml:space="preserve"> 3,00 M X 2,00 M - PADRÃO SUDECAP                   </v>
          </cell>
          <cell r="E26" t="str">
            <v xml:space="preserve"> UN   </v>
          </cell>
          <cell r="F26">
            <v>5</v>
          </cell>
          <cell r="G26">
            <v>997.19</v>
          </cell>
          <cell r="H26">
            <v>4985.9500000000007</v>
          </cell>
        </row>
        <row r="27">
          <cell r="A27">
            <v>18</v>
          </cell>
          <cell r="B27" t="str">
            <v>01.04.00</v>
          </cell>
          <cell r="D27" t="str">
            <v xml:space="preserve"> TAPUME PADRÃO SUDECAP (TIPO I, II E III)           </v>
          </cell>
          <cell r="E27">
            <v>0</v>
          </cell>
        </row>
        <row r="28">
          <cell r="A28">
            <v>19</v>
          </cell>
          <cell r="B28" t="str">
            <v>01.04.01</v>
          </cell>
          <cell r="D28" t="str">
            <v xml:space="preserve"> COMPENSADO 10MM FIXAÇÃO ENTERRADA COM INFORME PBH  </v>
          </cell>
          <cell r="E28" t="str">
            <v xml:space="preserve"> M    </v>
          </cell>
          <cell r="F28">
            <v>1980</v>
          </cell>
          <cell r="G28">
            <v>93.44</v>
          </cell>
          <cell r="H28">
            <v>185011.19999999998</v>
          </cell>
        </row>
        <row r="29">
          <cell r="A29">
            <v>20</v>
          </cell>
          <cell r="B29" t="str">
            <v>01.04.09</v>
          </cell>
          <cell r="D29" t="str">
            <v xml:space="preserve"> TELA-TAPUME DE POLIPROPILENO H= 1,20 M             </v>
          </cell>
          <cell r="E29" t="str">
            <v xml:space="preserve"> M    </v>
          </cell>
          <cell r="F29">
            <v>400</v>
          </cell>
          <cell r="G29">
            <v>5.18</v>
          </cell>
          <cell r="H29">
            <v>2072</v>
          </cell>
        </row>
        <row r="30">
          <cell r="A30">
            <v>21</v>
          </cell>
          <cell r="B30" t="str">
            <v>01.04.10</v>
          </cell>
          <cell r="D30" t="str">
            <v xml:space="preserve"> PROTEÇÃO COM FITA ZEBRADA AMARELA L=7CM E PEÇA 7X7 </v>
          </cell>
          <cell r="E30" t="str">
            <v xml:space="preserve"> M    </v>
          </cell>
          <cell r="F30">
            <v>6000</v>
          </cell>
          <cell r="G30">
            <v>5.35</v>
          </cell>
          <cell r="H30">
            <v>32099.999999999996</v>
          </cell>
        </row>
        <row r="31">
          <cell r="A31">
            <v>22</v>
          </cell>
          <cell r="B31" t="str">
            <v>01.06.00</v>
          </cell>
          <cell r="D31" t="str">
            <v xml:space="preserve"> INSTALAÇÃO PROVISÓRIA - CONCESSIONÁRIA             </v>
          </cell>
          <cell r="E31">
            <v>0</v>
          </cell>
        </row>
        <row r="32">
          <cell r="A32">
            <v>23</v>
          </cell>
          <cell r="B32" t="str">
            <v>01.06.01</v>
          </cell>
          <cell r="D32" t="str">
            <v xml:space="preserve"> PADRÃO CEMIG  - TRIFASICO ATE 30 KVA               </v>
          </cell>
          <cell r="E32" t="str">
            <v xml:space="preserve"> UN   </v>
          </cell>
          <cell r="F32">
            <v>2</v>
          </cell>
          <cell r="G32">
            <v>547.74</v>
          </cell>
          <cell r="H32">
            <v>1095.48</v>
          </cell>
        </row>
        <row r="33">
          <cell r="A33">
            <v>24</v>
          </cell>
          <cell r="B33" t="str">
            <v>01.06.05</v>
          </cell>
          <cell r="D33" t="str">
            <v xml:space="preserve"> PADRÃO COPASA - CAIXA E HIDROMETRO D= 3/4"         </v>
          </cell>
          <cell r="E33" t="str">
            <v xml:space="preserve"> UN   </v>
          </cell>
          <cell r="F33">
            <v>2</v>
          </cell>
          <cell r="G33">
            <v>247.87</v>
          </cell>
          <cell r="H33">
            <v>495.74</v>
          </cell>
        </row>
        <row r="34">
          <cell r="A34">
            <v>25</v>
          </cell>
          <cell r="B34" t="str">
            <v>01.08.00</v>
          </cell>
          <cell r="D34" t="str">
            <v xml:space="preserve"> REDE INTERNA E PROVISÓRIA DE AGUA E ESGOTO         </v>
          </cell>
          <cell r="E34">
            <v>0</v>
          </cell>
        </row>
        <row r="35">
          <cell r="A35">
            <v>26</v>
          </cell>
          <cell r="B35" t="str">
            <v>01.08.01</v>
          </cell>
          <cell r="D35" t="str">
            <v xml:space="preserve"> TUBO PVC      D= 100 MM                            </v>
          </cell>
          <cell r="E35" t="str">
            <v xml:space="preserve"> M    </v>
          </cell>
          <cell r="F35">
            <v>1000</v>
          </cell>
          <cell r="G35">
            <v>12.23</v>
          </cell>
          <cell r="H35">
            <v>12230</v>
          </cell>
        </row>
        <row r="36">
          <cell r="A36">
            <v>27</v>
          </cell>
          <cell r="B36" t="str">
            <v>01.08.03</v>
          </cell>
          <cell r="D36" t="str">
            <v xml:space="preserve"> TUBO PVC      D= 200 MM                            </v>
          </cell>
          <cell r="E36" t="str">
            <v xml:space="preserve"> M    </v>
          </cell>
          <cell r="F36">
            <v>600</v>
          </cell>
          <cell r="G36">
            <v>49.18</v>
          </cell>
          <cell r="H36">
            <v>29508</v>
          </cell>
        </row>
        <row r="37">
          <cell r="A37">
            <v>28</v>
          </cell>
          <cell r="B37" t="str">
            <v>01.08.20</v>
          </cell>
          <cell r="D37" t="str">
            <v xml:space="preserve"> TUBO PVC ÁGUA SOLDA E CONEXÕES D=20MM (1/2") </v>
          </cell>
          <cell r="E37" t="str">
            <v xml:space="preserve"> M    </v>
          </cell>
          <cell r="F37">
            <v>300</v>
          </cell>
          <cell r="G37">
            <v>3.3</v>
          </cell>
          <cell r="H37">
            <v>990</v>
          </cell>
        </row>
        <row r="38">
          <cell r="A38">
            <v>29</v>
          </cell>
          <cell r="B38" t="str">
            <v>01.08.21</v>
          </cell>
          <cell r="D38" t="str">
            <v xml:space="preserve"> TUBO PVC ÁGUA SOLDA E CONEXÕES D=25MM (3/4") </v>
          </cell>
          <cell r="E38" t="str">
            <v xml:space="preserve"> M    </v>
          </cell>
          <cell r="F38">
            <v>200</v>
          </cell>
          <cell r="G38">
            <v>3.85</v>
          </cell>
          <cell r="H38">
            <v>770</v>
          </cell>
        </row>
        <row r="39">
          <cell r="A39">
            <v>30</v>
          </cell>
          <cell r="B39" t="str">
            <v>01.21.00</v>
          </cell>
          <cell r="D39" t="str">
            <v xml:space="preserve"> AUTOMÓVEL, INCLUSIVE COMBUSTÍVEL                   </v>
          </cell>
          <cell r="E39">
            <v>0</v>
          </cell>
        </row>
        <row r="40">
          <cell r="A40">
            <v>31</v>
          </cell>
          <cell r="B40" t="str">
            <v>01.21.01</v>
          </cell>
          <cell r="D40" t="str">
            <v xml:space="preserve"> AUTOMÓVEL, INCLUSIVE COMBUSTÍVEL                   </v>
          </cell>
          <cell r="E40" t="str">
            <v xml:space="preserve"> MES  </v>
          </cell>
          <cell r="F40">
            <v>24</v>
          </cell>
          <cell r="G40">
            <v>2802.92</v>
          </cell>
          <cell r="H40">
            <v>67270.080000000002</v>
          </cell>
        </row>
        <row r="41">
          <cell r="A41">
            <v>32</v>
          </cell>
          <cell r="D41" t="str">
            <v>TOTAL DA ATIVIDADE  "01.00.00"</v>
          </cell>
          <cell r="H41">
            <v>475577.19</v>
          </cell>
        </row>
        <row r="42">
          <cell r="A42">
            <v>33</v>
          </cell>
        </row>
        <row r="43">
          <cell r="A43">
            <v>34</v>
          </cell>
          <cell r="B43" t="str">
            <v>DIRETORIA</v>
          </cell>
          <cell r="C43" t="str">
            <v>UNIDADE</v>
          </cell>
          <cell r="D43" t="str">
            <v>ELABORADO</v>
          </cell>
          <cell r="E43" t="str">
            <v>VISTO</v>
          </cell>
          <cell r="F43" t="str">
            <v>TOTAL</v>
          </cell>
        </row>
        <row r="44">
          <cell r="A44">
            <v>35</v>
          </cell>
          <cell r="B44" t="str">
            <v>SP/DOF</v>
          </cell>
          <cell r="C44" t="str">
            <v>DOF/DPF</v>
          </cell>
          <cell r="G44" t="str">
            <v>ANTERIOR</v>
          </cell>
          <cell r="H44">
            <v>0</v>
          </cell>
        </row>
        <row r="45">
          <cell r="A45">
            <v>36</v>
          </cell>
          <cell r="B45" t="str">
            <v xml:space="preserve">ORÇAMENTO Nº </v>
          </cell>
          <cell r="C45" t="str">
            <v>DATA</v>
          </cell>
          <cell r="G45" t="str">
            <v>FOLHA</v>
          </cell>
          <cell r="H45">
            <v>475577.19</v>
          </cell>
        </row>
        <row r="46">
          <cell r="A46">
            <v>37</v>
          </cell>
          <cell r="B46" t="str">
            <v>0077/13</v>
          </cell>
          <cell r="C46">
            <v>41494</v>
          </cell>
          <cell r="G46" t="str">
            <v>TOTAL</v>
          </cell>
          <cell r="H46">
            <v>475577.19</v>
          </cell>
        </row>
        <row r="47">
          <cell r="A47">
            <v>38</v>
          </cell>
        </row>
        <row r="48">
          <cell r="A48">
            <v>39</v>
          </cell>
          <cell r="B48" t="str">
            <v>02.00.00</v>
          </cell>
          <cell r="D48" t="str">
            <v xml:space="preserve"> DEMOLIÇÕES E REMOÇÕES                              </v>
          </cell>
          <cell r="E48">
            <v>0</v>
          </cell>
        </row>
        <row r="49">
          <cell r="A49">
            <v>40</v>
          </cell>
          <cell r="B49" t="str">
            <v>02.10.00</v>
          </cell>
          <cell r="D49" t="str">
            <v xml:space="preserve"> DEMOLIÇÃO DE PISO INCLUSIVE AFASTAMENTO</v>
          </cell>
        </row>
        <row r="50">
          <cell r="A50">
            <v>41</v>
          </cell>
          <cell r="B50" t="str">
            <v>02.10.01</v>
          </cell>
          <cell r="D50" t="str">
            <v xml:space="preserve"> CIMENTADO OU CONTRAPISO DE ARGAMASSA</v>
          </cell>
          <cell r="E50" t="str">
            <v>M2</v>
          </cell>
          <cell r="F50">
            <v>3515.3</v>
          </cell>
          <cell r="G50">
            <v>11.17</v>
          </cell>
          <cell r="H50">
            <v>39265.901000000005</v>
          </cell>
        </row>
        <row r="51">
          <cell r="A51">
            <v>42</v>
          </cell>
          <cell r="B51" t="str">
            <v>02.11.00</v>
          </cell>
          <cell r="D51" t="str">
            <v xml:space="preserve"> DEMOLIÇÃO DE PASSEIO E PAVIMENTO</v>
          </cell>
        </row>
        <row r="52">
          <cell r="A52">
            <v>43</v>
          </cell>
          <cell r="B52" t="str">
            <v>02.11.01</v>
          </cell>
          <cell r="D52" t="str">
            <v xml:space="preserve"> PASSEIO OU LAJE DE CONCRETO MANUALMENTE</v>
          </cell>
          <cell r="E52" t="str">
            <v>M2</v>
          </cell>
          <cell r="F52">
            <v>244.22</v>
          </cell>
          <cell r="G52">
            <v>16.27</v>
          </cell>
          <cell r="H52">
            <v>3973.4593999999997</v>
          </cell>
        </row>
        <row r="53">
          <cell r="A53">
            <v>44</v>
          </cell>
          <cell r="B53" t="str">
            <v>02.11.02</v>
          </cell>
          <cell r="D53" t="str">
            <v xml:space="preserve"> PASSEIO OU LAJE DE CONCRETO C/ EQUIPAMENTO PNEUMÁTICO</v>
          </cell>
          <cell r="E53" t="str">
            <v>M2</v>
          </cell>
          <cell r="F53">
            <v>93.06</v>
          </cell>
          <cell r="G53">
            <v>10.08</v>
          </cell>
          <cell r="H53">
            <v>938.04480000000001</v>
          </cell>
        </row>
        <row r="54">
          <cell r="A54">
            <v>45</v>
          </cell>
          <cell r="B54" t="str">
            <v>02.11.07</v>
          </cell>
          <cell r="D54" t="str">
            <v xml:space="preserve"> DE REVESTIMENTO ASFALTICO  COM EQUIP. PNEUMÁTICO</v>
          </cell>
          <cell r="E54" t="str">
            <v>M2</v>
          </cell>
          <cell r="F54">
            <v>2650.31</v>
          </cell>
          <cell r="G54">
            <v>10.08</v>
          </cell>
          <cell r="H54">
            <v>26715.124800000001</v>
          </cell>
        </row>
        <row r="55">
          <cell r="A55">
            <v>46</v>
          </cell>
          <cell r="B55" t="str">
            <v>02.13.00</v>
          </cell>
          <cell r="D55" t="str">
            <v xml:space="preserve"> DEMOLIÇÃO DE CONCRETO INCLUSIVE AFASTAMENTO        </v>
          </cell>
          <cell r="E55">
            <v>0</v>
          </cell>
        </row>
        <row r="56">
          <cell r="A56">
            <v>47</v>
          </cell>
          <cell r="B56" t="str">
            <v>02.13.01</v>
          </cell>
          <cell r="D56" t="str">
            <v xml:space="preserve"> SIMPLES - MANUAL </v>
          </cell>
          <cell r="E56" t="str">
            <v xml:space="preserve"> M3   </v>
          </cell>
          <cell r="F56">
            <v>13.52</v>
          </cell>
          <cell r="G56">
            <v>167.57</v>
          </cell>
          <cell r="H56">
            <v>2265.5463999999997</v>
          </cell>
        </row>
        <row r="57">
          <cell r="A57">
            <v>48</v>
          </cell>
          <cell r="B57" t="str">
            <v>02.13.02</v>
          </cell>
          <cell r="D57" t="str">
            <v xml:space="preserve"> ARMADO  - MANUAL                                   </v>
          </cell>
          <cell r="E57" t="str">
            <v xml:space="preserve"> M3   </v>
          </cell>
          <cell r="F57">
            <v>353.69</v>
          </cell>
          <cell r="G57">
            <v>230.45</v>
          </cell>
          <cell r="H57">
            <v>81507.860499999995</v>
          </cell>
        </row>
        <row r="58">
          <cell r="A58">
            <v>49</v>
          </cell>
          <cell r="B58" t="str">
            <v>02.14.00</v>
          </cell>
          <cell r="D58" t="str">
            <v xml:space="preserve"> DEMOLIÇÃO DE ALVENARIA INCLUSIVE AFASTAMENTO </v>
          </cell>
        </row>
        <row r="59">
          <cell r="A59">
            <v>50</v>
          </cell>
          <cell r="B59" t="str">
            <v>02.14.01</v>
          </cell>
          <cell r="D59" t="str">
            <v xml:space="preserve"> DE ALVENARIA DE TIJOLOS E BLOCOS</v>
          </cell>
          <cell r="E59" t="str">
            <v>M3</v>
          </cell>
          <cell r="F59">
            <v>74.849999999999994</v>
          </cell>
          <cell r="G59">
            <v>75.94</v>
          </cell>
          <cell r="H59">
            <v>5684.1089999999995</v>
          </cell>
        </row>
        <row r="60">
          <cell r="A60">
            <v>51</v>
          </cell>
          <cell r="B60" t="str">
            <v>02.15.00</v>
          </cell>
          <cell r="D60" t="str">
            <v xml:space="preserve"> REMOÇÃO DE MEIO FIO </v>
          </cell>
        </row>
        <row r="61">
          <cell r="A61">
            <v>52</v>
          </cell>
          <cell r="B61" t="str">
            <v>02.15.01</v>
          </cell>
          <cell r="D61" t="str">
            <v xml:space="preserve"> PRÉ MOLDADO DE CONCRETO </v>
          </cell>
          <cell r="E61" t="str">
            <v xml:space="preserve"> M </v>
          </cell>
          <cell r="F61">
            <v>526</v>
          </cell>
          <cell r="G61">
            <v>5.96</v>
          </cell>
          <cell r="H61">
            <v>3134.96</v>
          </cell>
        </row>
        <row r="62">
          <cell r="A62">
            <v>53</v>
          </cell>
          <cell r="B62" t="str">
            <v>02.16.00</v>
          </cell>
          <cell r="D62" t="str">
            <v xml:space="preserve"> DEMOLIÇÃO, REMOÇÃO E CARGA MECÂNICA                </v>
          </cell>
          <cell r="E62">
            <v>0</v>
          </cell>
        </row>
        <row r="63">
          <cell r="A63">
            <v>54</v>
          </cell>
          <cell r="B63" t="str">
            <v>02.16.01</v>
          </cell>
          <cell r="D63" t="str">
            <v xml:space="preserve"> DE CONSTRUÇÕES DE ALVENARIA                        </v>
          </cell>
          <cell r="E63" t="str">
            <v xml:space="preserve"> M2   </v>
          </cell>
          <cell r="F63">
            <v>3515.3</v>
          </cell>
          <cell r="G63">
            <v>5.04</v>
          </cell>
          <cell r="H63">
            <v>17717.112000000001</v>
          </cell>
        </row>
        <row r="64">
          <cell r="A64">
            <v>55</v>
          </cell>
          <cell r="B64" t="str">
            <v>02.16.04</v>
          </cell>
          <cell r="D64" t="str">
            <v xml:space="preserve"> DE GABIÃO</v>
          </cell>
          <cell r="E64" t="str">
            <v>M3</v>
          </cell>
          <cell r="F64">
            <v>327.60000000000002</v>
          </cell>
          <cell r="G64">
            <v>13</v>
          </cell>
          <cell r="H64">
            <v>4258.8</v>
          </cell>
        </row>
        <row r="65">
          <cell r="A65">
            <v>56</v>
          </cell>
          <cell r="B65" t="str">
            <v>02.21.00</v>
          </cell>
          <cell r="D65" t="str">
            <v xml:space="preserve"> REMOÇÃO DE PEÇAS DIVERSAS</v>
          </cell>
        </row>
        <row r="66">
          <cell r="A66">
            <v>57</v>
          </cell>
          <cell r="B66" t="str">
            <v>02.21.30</v>
          </cell>
          <cell r="D66" t="str">
            <v xml:space="preserve"> REMOÇÃO DE POSTE DA REDE ELÉTRICA, INCLUSIVE CABEAMENTO</v>
          </cell>
          <cell r="E66" t="str">
            <v xml:space="preserve"> UN   </v>
          </cell>
          <cell r="F66">
            <v>73</v>
          </cell>
          <cell r="G66">
            <v>675.79</v>
          </cell>
          <cell r="H66">
            <v>49332.67</v>
          </cell>
        </row>
        <row r="67">
          <cell r="A67">
            <v>58</v>
          </cell>
          <cell r="B67" t="str">
            <v>02.23.00</v>
          </cell>
          <cell r="D67" t="str">
            <v xml:space="preserve"> REMOÇÃO DE CERCA E ALAMBRADO                       </v>
          </cell>
          <cell r="E67">
            <v>0</v>
          </cell>
        </row>
        <row r="68">
          <cell r="A68">
            <v>59</v>
          </cell>
          <cell r="B68" t="str">
            <v>02.23.01</v>
          </cell>
          <cell r="D68" t="str">
            <v xml:space="preserve"> CERCA DE ARAME                                     </v>
          </cell>
          <cell r="E68" t="str">
            <v xml:space="preserve"> M    </v>
          </cell>
          <cell r="F68">
            <v>1030.21</v>
          </cell>
          <cell r="G68">
            <v>6.95</v>
          </cell>
          <cell r="H68">
            <v>7159.9595000000008</v>
          </cell>
        </row>
        <row r="69">
          <cell r="A69">
            <v>60</v>
          </cell>
          <cell r="B69" t="str">
            <v>02.27.00</v>
          </cell>
          <cell r="D69" t="str">
            <v xml:space="preserve"> CARGA DE MATERIAL DEMOLIDO SOBRE CAMINHÃO          </v>
          </cell>
          <cell r="E69">
            <v>0</v>
          </cell>
        </row>
        <row r="70">
          <cell r="A70">
            <v>61</v>
          </cell>
          <cell r="B70" t="str">
            <v>02.27.02</v>
          </cell>
          <cell r="D70" t="str">
            <v xml:space="preserve"> MECÂNICA                                           </v>
          </cell>
          <cell r="E70" t="str">
            <v xml:space="preserve"> M3   </v>
          </cell>
          <cell r="F70">
            <v>986.14</v>
          </cell>
          <cell r="G70">
            <v>1.7</v>
          </cell>
          <cell r="H70">
            <v>1676.4379999999999</v>
          </cell>
        </row>
        <row r="71">
          <cell r="A71">
            <v>62</v>
          </cell>
          <cell r="B71" t="str">
            <v>02.28.00</v>
          </cell>
          <cell r="D71" t="str">
            <v xml:space="preserve"> TRANSPORTE DE MATERIAL DEMOLIDO EM CAMINHÃO        </v>
          </cell>
          <cell r="E71">
            <v>0</v>
          </cell>
        </row>
        <row r="72">
          <cell r="A72">
            <v>63</v>
          </cell>
          <cell r="B72" t="str">
            <v>02.28.04</v>
          </cell>
          <cell r="D72" t="str">
            <v xml:space="preserve"> DMT  &gt; 5 KM                                        </v>
          </cell>
          <cell r="E72" t="str">
            <v xml:space="preserve"> M3KM </v>
          </cell>
          <cell r="F72">
            <v>191683.52</v>
          </cell>
          <cell r="G72">
            <v>1.04</v>
          </cell>
          <cell r="H72">
            <v>199350.86079999999</v>
          </cell>
        </row>
        <row r="73">
          <cell r="A73">
            <v>64</v>
          </cell>
          <cell r="D73" t="str">
            <v>TOTAL DA ATIVIDADE  "02.00.00"</v>
          </cell>
          <cell r="H73">
            <v>442980.84619999997</v>
          </cell>
        </row>
        <row r="74">
          <cell r="A74">
            <v>65</v>
          </cell>
          <cell r="B74" t="str">
            <v>03.00.00</v>
          </cell>
          <cell r="D74" t="str">
            <v xml:space="preserve"> TRABALHOS EM TERRA                                 </v>
          </cell>
          <cell r="E74">
            <v>0</v>
          </cell>
        </row>
        <row r="75">
          <cell r="A75">
            <v>66</v>
          </cell>
          <cell r="B75" t="str">
            <v>03.01.00</v>
          </cell>
          <cell r="D75" t="str">
            <v xml:space="preserve"> DESMATAMENTO, DESTOCAMENTO E LIMPEZA DO TERRENO    </v>
          </cell>
          <cell r="E75">
            <v>0</v>
          </cell>
        </row>
        <row r="76">
          <cell r="A76">
            <v>67</v>
          </cell>
          <cell r="B76" t="str">
            <v>03.01.02</v>
          </cell>
          <cell r="D76" t="str">
            <v xml:space="preserve"> DESMATAMENTO,DESTOC.E LIMPEZA,INCL.TRANSP. ATE 50M </v>
          </cell>
          <cell r="E76" t="str">
            <v xml:space="preserve"> M2   </v>
          </cell>
          <cell r="F76">
            <v>105582</v>
          </cell>
          <cell r="G76">
            <v>0.51</v>
          </cell>
          <cell r="H76">
            <v>53846.82</v>
          </cell>
        </row>
        <row r="77">
          <cell r="A77">
            <v>68</v>
          </cell>
          <cell r="B77" t="str">
            <v>03.01.10</v>
          </cell>
          <cell r="D77" t="str">
            <v xml:space="preserve"> REMOÇÃO DE ÁRVORE DE GRANDE PORTE INCLUSIVE CORTE DA LENHA</v>
          </cell>
          <cell r="E77" t="str">
            <v xml:space="preserve"> UN   </v>
          </cell>
          <cell r="F77">
            <v>16</v>
          </cell>
          <cell r="G77">
            <v>252.01</v>
          </cell>
          <cell r="H77">
            <v>4032.16</v>
          </cell>
        </row>
        <row r="78">
          <cell r="A78">
            <v>69</v>
          </cell>
          <cell r="B78" t="str">
            <v>03.01.11</v>
          </cell>
          <cell r="D78" t="str">
            <v xml:space="preserve"> REMOÇÃO DE ÁRVORE DE MEDIO PORTE INCLUSIVE CORTE DA LENHA</v>
          </cell>
          <cell r="E78" t="str">
            <v xml:space="preserve"> UN   </v>
          </cell>
          <cell r="F78">
            <v>70</v>
          </cell>
          <cell r="G78">
            <v>159.19</v>
          </cell>
          <cell r="H78">
            <v>11143.3</v>
          </cell>
        </row>
        <row r="79">
          <cell r="A79">
            <v>70</v>
          </cell>
          <cell r="B79" t="str">
            <v>03.01.12</v>
          </cell>
          <cell r="D79" t="str">
            <v xml:space="preserve"> REMOÇÃO DE ÁRVORE DE PEQUENO PORTE INCLUSIVE CORTE DA LENHA</v>
          </cell>
          <cell r="E79" t="str">
            <v xml:space="preserve"> UN   </v>
          </cell>
          <cell r="F79">
            <v>60</v>
          </cell>
          <cell r="G79">
            <v>96.19</v>
          </cell>
          <cell r="H79">
            <v>5771.4</v>
          </cell>
        </row>
        <row r="80">
          <cell r="A80">
            <v>71</v>
          </cell>
          <cell r="B80" t="str">
            <v>03.03.00</v>
          </cell>
          <cell r="D80" t="str">
            <v xml:space="preserve"> ESCAVAÇÃO MECÂNICA INCLUSIVE TRANSPORTE ATE 50 M   </v>
          </cell>
          <cell r="E80">
            <v>0</v>
          </cell>
        </row>
        <row r="81">
          <cell r="A81">
            <v>72</v>
          </cell>
          <cell r="B81" t="str">
            <v>03.03.01</v>
          </cell>
          <cell r="D81" t="str">
            <v xml:space="preserve"> EM MATERIAL DE 1ª CATEGORIA                        </v>
          </cell>
          <cell r="E81" t="str">
            <v xml:space="preserve"> M3   </v>
          </cell>
          <cell r="F81">
            <v>315840.13</v>
          </cell>
          <cell r="G81">
            <v>4.12</v>
          </cell>
          <cell r="H81">
            <v>1301261.3356000001</v>
          </cell>
        </row>
        <row r="82">
          <cell r="A82">
            <v>73</v>
          </cell>
          <cell r="B82" t="str">
            <v>03.05.00</v>
          </cell>
          <cell r="D82" t="str">
            <v xml:space="preserve"> ESCAVAÇÃO E CARGA MECANIZADA</v>
          </cell>
        </row>
        <row r="83">
          <cell r="A83">
            <v>74</v>
          </cell>
          <cell r="B83" t="str">
            <v>03.05.01</v>
          </cell>
          <cell r="D83" t="str">
            <v xml:space="preserve"> EM MATERIAL DE 1ª CATEGORIA</v>
          </cell>
          <cell r="E83" t="str">
            <v>M3</v>
          </cell>
          <cell r="F83">
            <v>253820.86</v>
          </cell>
          <cell r="G83">
            <v>4.95</v>
          </cell>
          <cell r="H83">
            <v>1256413.257</v>
          </cell>
        </row>
        <row r="84">
          <cell r="A84">
            <v>75</v>
          </cell>
          <cell r="B84" t="str">
            <v>03.07.00</v>
          </cell>
          <cell r="D84" t="str">
            <v xml:space="preserve"> ESCAVAÇÃO E CARGA EM MATERIAL DE 3ª CATEGORIA      </v>
          </cell>
          <cell r="E84">
            <v>0</v>
          </cell>
        </row>
        <row r="85">
          <cell r="A85">
            <v>76</v>
          </cell>
        </row>
        <row r="86">
          <cell r="A86">
            <v>77</v>
          </cell>
          <cell r="B86" t="str">
            <v>DIRETORIA</v>
          </cell>
          <cell r="C86" t="str">
            <v>UNIDADE</v>
          </cell>
          <cell r="D86" t="str">
            <v>ELABORADO</v>
          </cell>
          <cell r="E86" t="str">
            <v>VISTO</v>
          </cell>
          <cell r="F86" t="str">
            <v>TOTAL</v>
          </cell>
        </row>
        <row r="87">
          <cell r="A87">
            <v>78</v>
          </cell>
          <cell r="B87" t="str">
            <v>SP/DOF</v>
          </cell>
          <cell r="C87" t="str">
            <v>DOF/DPF</v>
          </cell>
          <cell r="G87" t="str">
            <v>ANTERIOR</v>
          </cell>
          <cell r="H87">
            <v>475577.19</v>
          </cell>
        </row>
        <row r="88">
          <cell r="A88">
            <v>79</v>
          </cell>
          <cell r="B88" t="str">
            <v xml:space="preserve">ORÇAMENTO Nº </v>
          </cell>
          <cell r="C88" t="str">
            <v>DATA</v>
          </cell>
          <cell r="G88" t="str">
            <v>FOLHA</v>
          </cell>
          <cell r="H88">
            <v>3075449.1187999998</v>
          </cell>
        </row>
        <row r="89">
          <cell r="A89">
            <v>80</v>
          </cell>
          <cell r="B89" t="str">
            <v>0077/13</v>
          </cell>
          <cell r="C89">
            <v>41494</v>
          </cell>
          <cell r="G89" t="str">
            <v>TOTAL</v>
          </cell>
          <cell r="H89">
            <v>3551026.3087999998</v>
          </cell>
        </row>
        <row r="90">
          <cell r="A90">
            <v>81</v>
          </cell>
          <cell r="B90" t="str">
            <v>03.07.02</v>
          </cell>
          <cell r="D90" t="str">
            <v xml:space="preserve"> COM UTILIZAÇÃO DE EQUIPAMENTO A AR COMPRIMIDO      </v>
          </cell>
          <cell r="E90" t="str">
            <v xml:space="preserve"> M3   </v>
          </cell>
          <cell r="F90">
            <v>28870.05</v>
          </cell>
          <cell r="G90">
            <v>92.32</v>
          </cell>
          <cell r="H90">
            <v>2665283.0159999998</v>
          </cell>
        </row>
        <row r="91">
          <cell r="A91">
            <v>82</v>
          </cell>
          <cell r="B91" t="str">
            <v>03.12.00</v>
          </cell>
          <cell r="D91" t="str">
            <v xml:space="preserve"> CARGA DE MATERIAL DE QQUER NATUREZA SOBRE CAMINHAO </v>
          </cell>
          <cell r="E91">
            <v>0</v>
          </cell>
        </row>
        <row r="92">
          <cell r="A92">
            <v>83</v>
          </cell>
          <cell r="B92" t="str">
            <v>03.12.03</v>
          </cell>
          <cell r="D92" t="str">
            <v xml:space="preserve"> MECÂNICA                                           </v>
          </cell>
          <cell r="E92" t="str">
            <v xml:space="preserve"> M3   </v>
          </cell>
          <cell r="F92">
            <v>388481.28000000003</v>
          </cell>
          <cell r="G92">
            <v>1.78</v>
          </cell>
          <cell r="H92">
            <v>691496.67840000009</v>
          </cell>
        </row>
        <row r="93">
          <cell r="A93">
            <v>84</v>
          </cell>
          <cell r="B93" t="str">
            <v>03.13.00</v>
          </cell>
          <cell r="D93" t="str">
            <v xml:space="preserve"> TRANSPORTE DE MATERIAL DE QUALQUER NATUREZA        </v>
          </cell>
          <cell r="E93">
            <v>0</v>
          </cell>
        </row>
        <row r="94">
          <cell r="A94">
            <v>85</v>
          </cell>
          <cell r="B94" t="str">
            <v>03.13.01</v>
          </cell>
          <cell r="D94" t="str">
            <v xml:space="preserve"> DMT  &lt;= 1 KM                                        </v>
          </cell>
          <cell r="E94" t="str">
            <v xml:space="preserve"> M3   </v>
          </cell>
          <cell r="F94">
            <v>168520.09</v>
          </cell>
          <cell r="G94">
            <v>2.2000000000000002</v>
          </cell>
          <cell r="H94">
            <v>370744.19800000003</v>
          </cell>
        </row>
        <row r="95">
          <cell r="A95">
            <v>86</v>
          </cell>
          <cell r="B95" t="str">
            <v>03.13.02</v>
          </cell>
          <cell r="D95" t="str">
            <v xml:space="preserve"> 1 KM &lt; DMT &lt; = 2 KM                                        </v>
          </cell>
          <cell r="E95" t="str">
            <v xml:space="preserve"> M3   </v>
          </cell>
          <cell r="F95">
            <v>18931.36</v>
          </cell>
          <cell r="G95">
            <v>3.98</v>
          </cell>
          <cell r="H95">
            <v>75346.8128</v>
          </cell>
        </row>
        <row r="96">
          <cell r="A96">
            <v>87</v>
          </cell>
          <cell r="B96" t="str">
            <v>03.13.03</v>
          </cell>
          <cell r="D96" t="str">
            <v xml:space="preserve"> 2 KM &lt; DMT &lt; = 5 KM                                        </v>
          </cell>
          <cell r="E96" t="str">
            <v xml:space="preserve"> M3KM </v>
          </cell>
          <cell r="F96">
            <v>66259.77</v>
          </cell>
          <cell r="G96">
            <v>1.81</v>
          </cell>
          <cell r="H96">
            <v>119930.18370000001</v>
          </cell>
        </row>
        <row r="97">
          <cell r="A97">
            <v>88</v>
          </cell>
          <cell r="B97" t="str">
            <v>03.13.04</v>
          </cell>
          <cell r="D97" t="str">
            <v xml:space="preserve"> DMT  &gt; 5 KM                                        </v>
          </cell>
          <cell r="E97" t="str">
            <v xml:space="preserve"> M3KM </v>
          </cell>
          <cell r="F97">
            <v>21397948.600000001</v>
          </cell>
          <cell r="G97">
            <v>1.18</v>
          </cell>
          <cell r="H97">
            <v>25249579.348000001</v>
          </cell>
        </row>
        <row r="98">
          <cell r="A98">
            <v>89</v>
          </cell>
          <cell r="B98" t="str">
            <v>03.15.00</v>
          </cell>
          <cell r="D98" t="str">
            <v xml:space="preserve"> ATERRO COMPACTADO                                  </v>
          </cell>
          <cell r="E98">
            <v>0</v>
          </cell>
        </row>
        <row r="99">
          <cell r="A99">
            <v>90</v>
          </cell>
          <cell r="B99" t="str">
            <v>03.15.01</v>
          </cell>
          <cell r="D99" t="str">
            <v xml:space="preserve"> COM ROLO VIBRATORIO                                </v>
          </cell>
          <cell r="E99" t="str">
            <v xml:space="preserve"> M3   </v>
          </cell>
          <cell r="F99">
            <v>194769.63</v>
          </cell>
          <cell r="G99">
            <v>3.15</v>
          </cell>
          <cell r="H99">
            <v>613524.3345</v>
          </cell>
        </row>
        <row r="100">
          <cell r="A100">
            <v>91</v>
          </cell>
          <cell r="B100" t="str">
            <v>03.15.02</v>
          </cell>
          <cell r="D100" t="str">
            <v xml:space="preserve"> COM PLACA VIBRATORIA</v>
          </cell>
          <cell r="E100" t="str">
            <v xml:space="preserve"> M3   </v>
          </cell>
          <cell r="F100">
            <v>4390.97</v>
          </cell>
          <cell r="G100">
            <v>16.329999999999998</v>
          </cell>
          <cell r="H100">
            <v>71704.540099999998</v>
          </cell>
        </row>
        <row r="101">
          <cell r="A101">
            <v>92</v>
          </cell>
          <cell r="B101" t="str">
            <v>03.17.00</v>
          </cell>
          <cell r="D101" t="str">
            <v xml:space="preserve"> ESCAVAÇÃO MANUAL DE VALAS</v>
          </cell>
        </row>
        <row r="102">
          <cell r="A102">
            <v>93</v>
          </cell>
          <cell r="B102" t="str">
            <v>03.17.01</v>
          </cell>
          <cell r="D102" t="str">
            <v xml:space="preserve"> H &lt;= 1,5 M</v>
          </cell>
          <cell r="E102" t="str">
            <v>M3</v>
          </cell>
          <cell r="F102">
            <v>667</v>
          </cell>
          <cell r="G102">
            <v>35.78</v>
          </cell>
          <cell r="H102">
            <v>23865.260000000002</v>
          </cell>
        </row>
        <row r="103">
          <cell r="A103">
            <v>94</v>
          </cell>
          <cell r="B103" t="str">
            <v>03.17.02</v>
          </cell>
          <cell r="D103" t="str">
            <v xml:space="preserve"> 1,5 M &lt; H &lt;= 3,0 M</v>
          </cell>
          <cell r="E103" t="str">
            <v>M3</v>
          </cell>
          <cell r="F103">
            <v>543</v>
          </cell>
          <cell r="G103">
            <v>47.7</v>
          </cell>
          <cell r="H103">
            <v>25901.100000000002</v>
          </cell>
        </row>
        <row r="104">
          <cell r="A104">
            <v>95</v>
          </cell>
          <cell r="B104" t="str">
            <v>03.17.03</v>
          </cell>
          <cell r="D104" t="str">
            <v xml:space="preserve"> 3,0 M &lt; H &lt;= 5,0 M</v>
          </cell>
          <cell r="E104" t="str">
            <v>M3</v>
          </cell>
          <cell r="F104">
            <v>292</v>
          </cell>
          <cell r="G104">
            <v>59.62</v>
          </cell>
          <cell r="H104">
            <v>17409.04</v>
          </cell>
        </row>
        <row r="105">
          <cell r="A105">
            <v>96</v>
          </cell>
          <cell r="B105" t="str">
            <v>03.18.00</v>
          </cell>
          <cell r="D105" t="str">
            <v xml:space="preserve"> ESCAVAÇÃO MECÂNICA DE VALAS COM DESCARGA LATERAL   </v>
          </cell>
          <cell r="E105">
            <v>0</v>
          </cell>
        </row>
        <row r="106">
          <cell r="A106">
            <v>97</v>
          </cell>
          <cell r="B106" t="str">
            <v>03.18.01</v>
          </cell>
          <cell r="D106" t="str">
            <v xml:space="preserve"> H &lt;= 1.5 M                                         </v>
          </cell>
          <cell r="E106" t="str">
            <v xml:space="preserve"> M3   </v>
          </cell>
          <cell r="F106">
            <v>13588.87</v>
          </cell>
          <cell r="G106">
            <v>3.75</v>
          </cell>
          <cell r="H106">
            <v>50958.262500000004</v>
          </cell>
        </row>
        <row r="107">
          <cell r="A107">
            <v>98</v>
          </cell>
          <cell r="B107" t="str">
            <v>03.18.02</v>
          </cell>
          <cell r="D107" t="str">
            <v xml:space="preserve"> 1.5 M &lt; H &lt;= 3.0 M                                 </v>
          </cell>
          <cell r="E107" t="str">
            <v xml:space="preserve"> M3   </v>
          </cell>
          <cell r="F107">
            <v>10183.56</v>
          </cell>
          <cell r="G107">
            <v>4.78</v>
          </cell>
          <cell r="H107">
            <v>48677.416799999999</v>
          </cell>
        </row>
        <row r="108">
          <cell r="A108">
            <v>99</v>
          </cell>
          <cell r="B108" t="str">
            <v>03.18.03</v>
          </cell>
          <cell r="D108" t="str">
            <v xml:space="preserve"> 3.0 M &lt; H &lt;= 5.0 M                                 </v>
          </cell>
          <cell r="E108" t="str">
            <v xml:space="preserve"> M3   </v>
          </cell>
          <cell r="F108">
            <v>15369.76</v>
          </cell>
          <cell r="G108">
            <v>5.57</v>
          </cell>
          <cell r="H108">
            <v>85609.563200000004</v>
          </cell>
        </row>
        <row r="109">
          <cell r="A109">
            <v>100</v>
          </cell>
          <cell r="B109" t="str">
            <v>03.20.00</v>
          </cell>
          <cell r="D109" t="str">
            <v xml:space="preserve"> ESCAVAÇÃO EM SOLO MOLE                             </v>
          </cell>
          <cell r="E109">
            <v>0</v>
          </cell>
        </row>
        <row r="110">
          <cell r="A110">
            <v>101</v>
          </cell>
          <cell r="B110" t="str">
            <v>03.20.01</v>
          </cell>
          <cell r="D110" t="str">
            <v xml:space="preserve"> MECÂNICA COM DESCARGA DIRETA SOBRE CAMINHAO        </v>
          </cell>
          <cell r="E110" t="str">
            <v xml:space="preserve"> M3   </v>
          </cell>
          <cell r="F110">
            <v>54133.58</v>
          </cell>
          <cell r="G110">
            <v>5.48</v>
          </cell>
          <cell r="H110">
            <v>296652.01840000006</v>
          </cell>
        </row>
        <row r="111">
          <cell r="A111">
            <v>102</v>
          </cell>
          <cell r="B111" t="str">
            <v>03.21.00</v>
          </cell>
          <cell r="D111" t="str">
            <v xml:space="preserve"> ESCAVAÇÃO E CARGA DE VALA EM MATERIAL 3ª CATEGORIA</v>
          </cell>
        </row>
        <row r="112">
          <cell r="A112">
            <v>103</v>
          </cell>
          <cell r="B112" t="str">
            <v>03.21.02</v>
          </cell>
          <cell r="D112" t="str">
            <v xml:space="preserve"> COM UTILIZAÇÃO DE EQUIPAMENTO A AR COMPRIMIDO</v>
          </cell>
          <cell r="E112" t="str">
            <v xml:space="preserve"> M3   </v>
          </cell>
          <cell r="F112">
            <v>677</v>
          </cell>
          <cell r="G112">
            <v>189.43</v>
          </cell>
          <cell r="H112">
            <v>128244.11</v>
          </cell>
        </row>
        <row r="113">
          <cell r="A113">
            <v>104</v>
          </cell>
          <cell r="B113" t="str">
            <v>03.22.00</v>
          </cell>
          <cell r="D113" t="str">
            <v xml:space="preserve"> REATERRO DE VALA                                   </v>
          </cell>
          <cell r="E113">
            <v>0</v>
          </cell>
        </row>
        <row r="114">
          <cell r="A114">
            <v>105</v>
          </cell>
          <cell r="B114" t="str">
            <v>03.22.01</v>
          </cell>
          <cell r="D114" t="str">
            <v xml:space="preserve"> MANUAL                                             </v>
          </cell>
          <cell r="E114" t="str">
            <v xml:space="preserve"> M3   </v>
          </cell>
          <cell r="F114">
            <v>2750.28</v>
          </cell>
          <cell r="G114">
            <v>35.78</v>
          </cell>
          <cell r="H114">
            <v>98405.018400000015</v>
          </cell>
        </row>
        <row r="115">
          <cell r="A115">
            <v>106</v>
          </cell>
          <cell r="B115" t="str">
            <v>03.22.02</v>
          </cell>
          <cell r="D115" t="str">
            <v xml:space="preserve"> COMPACTADO COM EQUIP. PLACA VIBRATORIA OU SIMILAR  </v>
          </cell>
          <cell r="E115" t="str">
            <v xml:space="preserve"> M3   </v>
          </cell>
          <cell r="F115">
            <v>13272.55</v>
          </cell>
          <cell r="G115">
            <v>16.329999999999998</v>
          </cell>
          <cell r="H115">
            <v>216740.74149999997</v>
          </cell>
        </row>
        <row r="116">
          <cell r="A116">
            <v>107</v>
          </cell>
          <cell r="B116" t="str">
            <v>03.23.00</v>
          </cell>
          <cell r="D116" t="str">
            <v xml:space="preserve"> REGULARIZAÇÃO E COMPACTAÇÃO DE TERRENO             </v>
          </cell>
          <cell r="E116">
            <v>0</v>
          </cell>
        </row>
        <row r="117">
          <cell r="A117">
            <v>108</v>
          </cell>
          <cell r="B117" t="str">
            <v>03.23.03</v>
          </cell>
          <cell r="D117" t="str">
            <v xml:space="preserve"> COM PLACA VIBRATORIA                               </v>
          </cell>
          <cell r="E117" t="str">
            <v xml:space="preserve"> M2   </v>
          </cell>
          <cell r="F117">
            <v>7426.7</v>
          </cell>
          <cell r="G117">
            <v>3.39</v>
          </cell>
          <cell r="H117">
            <v>25176.512999999999</v>
          </cell>
        </row>
        <row r="118">
          <cell r="A118">
            <v>109</v>
          </cell>
          <cell r="D118" t="str">
            <v>TOTAL DA ATIVIDADE  "03.00.00"</v>
          </cell>
          <cell r="H118">
            <v>33507716.427900001</v>
          </cell>
        </row>
        <row r="119">
          <cell r="A119">
            <v>110</v>
          </cell>
          <cell r="B119" t="str">
            <v>05.00.00</v>
          </cell>
          <cell r="D119" t="str">
            <v xml:space="preserve"> GALERIA CELULAR E/OU CONTENÇÕES                    </v>
          </cell>
          <cell r="E119">
            <v>0</v>
          </cell>
        </row>
        <row r="120">
          <cell r="A120">
            <v>111</v>
          </cell>
          <cell r="B120" t="str">
            <v>05.01.00</v>
          </cell>
          <cell r="D120" t="str">
            <v xml:space="preserve"> ENROCAMENTO COM PEDRA DE MAO                       </v>
          </cell>
          <cell r="E120">
            <v>0</v>
          </cell>
        </row>
        <row r="121">
          <cell r="A121">
            <v>112</v>
          </cell>
          <cell r="B121" t="str">
            <v>05.01.01</v>
          </cell>
          <cell r="D121" t="str">
            <v xml:space="preserve"> JOGADA </v>
          </cell>
          <cell r="E121" t="str">
            <v xml:space="preserve"> T </v>
          </cell>
          <cell r="F121">
            <v>379.14</v>
          </cell>
          <cell r="G121">
            <v>76.94</v>
          </cell>
          <cell r="H121">
            <v>29171.031599999998</v>
          </cell>
        </row>
        <row r="122">
          <cell r="A122">
            <v>113</v>
          </cell>
          <cell r="B122" t="str">
            <v>05.01.02</v>
          </cell>
          <cell r="D122" t="str">
            <v xml:space="preserve"> ARRUMADA                                           </v>
          </cell>
          <cell r="E122" t="str">
            <v xml:space="preserve"> M3   </v>
          </cell>
          <cell r="F122">
            <v>26302.77</v>
          </cell>
          <cell r="G122">
            <v>183.73</v>
          </cell>
          <cell r="H122">
            <v>4832607.9320999999</v>
          </cell>
        </row>
        <row r="123">
          <cell r="A123">
            <v>114</v>
          </cell>
          <cell r="B123" t="str">
            <v>05.01.04</v>
          </cell>
          <cell r="D123" t="str">
            <v xml:space="preserve"> TRANSIÇÃO ÚNICA - FORNECIMENTO E LANÇAMENTO DE BRITA</v>
          </cell>
          <cell r="E123" t="str">
            <v xml:space="preserve"> M3   </v>
          </cell>
          <cell r="F123">
            <v>4222.91</v>
          </cell>
          <cell r="G123">
            <v>114.77</v>
          </cell>
          <cell r="H123">
            <v>484663.38069999998</v>
          </cell>
        </row>
        <row r="124">
          <cell r="A124">
            <v>115</v>
          </cell>
          <cell r="B124" t="str">
            <v>05.02.00</v>
          </cell>
          <cell r="D124" t="str">
            <v xml:space="preserve"> TUBO DE CONCRETO POROSO </v>
          </cell>
        </row>
        <row r="125">
          <cell r="A125">
            <v>116</v>
          </cell>
          <cell r="B125" t="str">
            <v>05.02.01</v>
          </cell>
          <cell r="D125" t="str">
            <v xml:space="preserve"> D=0,15M </v>
          </cell>
          <cell r="E125" t="str">
            <v xml:space="preserve"> M </v>
          </cell>
          <cell r="F125">
            <v>583</v>
          </cell>
          <cell r="G125">
            <v>29.89</v>
          </cell>
          <cell r="H125">
            <v>17425.87</v>
          </cell>
        </row>
        <row r="126">
          <cell r="A126">
            <v>117</v>
          </cell>
          <cell r="B126" t="str">
            <v>05.02.02</v>
          </cell>
          <cell r="D126" t="str">
            <v xml:space="preserve"> D=0,20M </v>
          </cell>
          <cell r="E126" t="str">
            <v xml:space="preserve"> M </v>
          </cell>
          <cell r="F126">
            <v>972</v>
          </cell>
          <cell r="G126">
            <v>35.31</v>
          </cell>
          <cell r="H126">
            <v>34321.32</v>
          </cell>
        </row>
        <row r="127">
          <cell r="A127">
            <v>118</v>
          </cell>
          <cell r="B127" t="str">
            <v>05.03.00</v>
          </cell>
          <cell r="D127" t="str">
            <v xml:space="preserve"> CONCRETO DE REGULARIZAÇÃO                          </v>
          </cell>
          <cell r="E127">
            <v>0</v>
          </cell>
        </row>
        <row r="128">
          <cell r="A128">
            <v>119</v>
          </cell>
        </row>
        <row r="129">
          <cell r="A129">
            <v>120</v>
          </cell>
          <cell r="B129" t="str">
            <v>DIRETORIA</v>
          </cell>
          <cell r="C129" t="str">
            <v>UNIDADE</v>
          </cell>
          <cell r="D129" t="str">
            <v>ELABORADO</v>
          </cell>
          <cell r="E129" t="str">
            <v>VISTO</v>
          </cell>
          <cell r="F129" t="str">
            <v>TOTAL</v>
          </cell>
        </row>
        <row r="130">
          <cell r="A130">
            <v>121</v>
          </cell>
          <cell r="B130" t="str">
            <v>SP/DOF</v>
          </cell>
          <cell r="C130" t="str">
            <v>DOF/DPF</v>
          </cell>
          <cell r="G130" t="str">
            <v>ANTERIOR</v>
          </cell>
          <cell r="H130">
            <v>3551026.3087999998</v>
          </cell>
        </row>
        <row r="131">
          <cell r="A131">
            <v>122</v>
          </cell>
          <cell r="B131" t="str">
            <v xml:space="preserve">ORÇAMENTO Nº </v>
          </cell>
          <cell r="C131" t="str">
            <v>DATA</v>
          </cell>
          <cell r="G131" t="str">
            <v>FOLHA</v>
          </cell>
          <cell r="H131">
            <v>36273437.6897</v>
          </cell>
        </row>
        <row r="132">
          <cell r="A132">
            <v>123</v>
          </cell>
          <cell r="B132" t="str">
            <v>0077/13</v>
          </cell>
          <cell r="C132">
            <v>41494</v>
          </cell>
          <cell r="G132" t="str">
            <v>TOTAL</v>
          </cell>
          <cell r="H132">
            <v>39824463.998499997</v>
          </cell>
        </row>
        <row r="133">
          <cell r="A133">
            <v>124</v>
          </cell>
          <cell r="B133" t="str">
            <v>05.03.01</v>
          </cell>
          <cell r="D133" t="str">
            <v xml:space="preserve"> TRAÇO 1:3:6, FORNECIMENTO E LANÇAMENTO SOBRE ENROCAMENTO </v>
          </cell>
          <cell r="E133" t="str">
            <v xml:space="preserve"> M3   </v>
          </cell>
          <cell r="F133">
            <v>1587.86</v>
          </cell>
          <cell r="G133">
            <v>435.3</v>
          </cell>
          <cell r="H133">
            <v>691195.45799999998</v>
          </cell>
        </row>
        <row r="134">
          <cell r="A134">
            <v>125</v>
          </cell>
          <cell r="B134" t="str">
            <v>05.04.00</v>
          </cell>
          <cell r="D134" t="str">
            <v xml:space="preserve"> FORMA INCLUSIVE DESFORMA</v>
          </cell>
        </row>
        <row r="135">
          <cell r="A135">
            <v>126</v>
          </cell>
          <cell r="B135" t="str">
            <v>05.04.01</v>
          </cell>
          <cell r="D135" t="str">
            <v xml:space="preserve"> FORMA DE COMPENSADO RESINADO</v>
          </cell>
          <cell r="E135" t="str">
            <v>M2</v>
          </cell>
          <cell r="F135">
            <v>12826.53</v>
          </cell>
          <cell r="G135">
            <v>51.97</v>
          </cell>
          <cell r="H135">
            <v>666594.76410000003</v>
          </cell>
        </row>
        <row r="136">
          <cell r="A136">
            <v>127</v>
          </cell>
          <cell r="B136" t="str">
            <v>05.05.00</v>
          </cell>
          <cell r="D136" t="str">
            <v xml:space="preserve"> ARMACAO INCLUSIVE CORTE, DOBRA E COLOCAÇÃO</v>
          </cell>
        </row>
        <row r="137">
          <cell r="A137">
            <v>128</v>
          </cell>
          <cell r="B137" t="str">
            <v>05.05.01</v>
          </cell>
          <cell r="D137" t="str">
            <v xml:space="preserve"> AÇO CA-50 OU CA-60</v>
          </cell>
          <cell r="E137" t="str">
            <v>KG</v>
          </cell>
          <cell r="F137">
            <v>732439.8</v>
          </cell>
          <cell r="G137">
            <v>7.83</v>
          </cell>
          <cell r="H137">
            <v>5735003.6340000005</v>
          </cell>
        </row>
        <row r="138">
          <cell r="A138">
            <v>129</v>
          </cell>
          <cell r="B138" t="str">
            <v>05.06.00</v>
          </cell>
          <cell r="D138" t="str">
            <v xml:space="preserve"> JUNTA ELÁSTICA </v>
          </cell>
        </row>
        <row r="139">
          <cell r="A139">
            <v>130</v>
          </cell>
          <cell r="B139" t="str">
            <v>05.06.01</v>
          </cell>
          <cell r="D139" t="str">
            <v xml:space="preserve"> JUNTA ELÁSTICA O-22 FUNGEBAND OU SIMILAR </v>
          </cell>
          <cell r="E139" t="str">
            <v xml:space="preserve"> M </v>
          </cell>
          <cell r="F139">
            <v>624</v>
          </cell>
          <cell r="G139">
            <v>79.33</v>
          </cell>
          <cell r="H139">
            <v>49501.919999999998</v>
          </cell>
        </row>
        <row r="140">
          <cell r="A140">
            <v>131</v>
          </cell>
          <cell r="B140" t="str">
            <v>05.06.05</v>
          </cell>
          <cell r="D140" t="str">
            <v xml:space="preserve"> FORNECIMENTO E INSTALAÇÃO DE JUNTA JEENE 8097VV PRESSURIZADA, INCLUINDO LABIO POLIMERICOS </v>
          </cell>
          <cell r="E140" t="str">
            <v xml:space="preserve"> M </v>
          </cell>
          <cell r="F140">
            <v>41.2</v>
          </cell>
          <cell r="G140">
            <v>1891.97</v>
          </cell>
          <cell r="H140">
            <v>77949.164000000004</v>
          </cell>
        </row>
        <row r="141">
          <cell r="A141">
            <v>132</v>
          </cell>
          <cell r="B141" t="str">
            <v>05.06.06</v>
          </cell>
          <cell r="D141" t="str">
            <v xml:space="preserve"> INJEÇÃO DE GEL ACRÍLICO POLIMERICO</v>
          </cell>
          <cell r="E141" t="str">
            <v>L</v>
          </cell>
          <cell r="F141">
            <v>111.65</v>
          </cell>
          <cell r="G141">
            <v>400.1</v>
          </cell>
          <cell r="H141">
            <v>44671.165000000008</v>
          </cell>
        </row>
        <row r="142">
          <cell r="A142">
            <v>133</v>
          </cell>
          <cell r="B142" t="str">
            <v>05.06.08</v>
          </cell>
          <cell r="D142" t="str">
            <v xml:space="preserve"> ENCHIMENTO DE JUNTAS COM MASTIQUE ELÁSTICO LARGURA = 2,00 CM PROFUNDIDADE = 2,00 CM </v>
          </cell>
          <cell r="E142" t="str">
            <v xml:space="preserve"> M </v>
          </cell>
          <cell r="F142">
            <v>41.2</v>
          </cell>
          <cell r="G142">
            <v>28.26</v>
          </cell>
          <cell r="H142">
            <v>1164.3120000000001</v>
          </cell>
        </row>
        <row r="143">
          <cell r="A143">
            <v>134</v>
          </cell>
          <cell r="B143" t="str">
            <v>05.07.00</v>
          </cell>
          <cell r="D143" t="str">
            <v xml:space="preserve"> CONCRETO ESTRUTURAL FORN. APLICACÃO E ADENSAMENTO</v>
          </cell>
        </row>
        <row r="144">
          <cell r="A144">
            <v>135</v>
          </cell>
          <cell r="B144" t="str">
            <v>05.07.40</v>
          </cell>
          <cell r="D144" t="str">
            <v xml:space="preserve"> FCK&gt;=20.0 MPA USINADO</v>
          </cell>
          <cell r="E144" t="str">
            <v>M3</v>
          </cell>
          <cell r="F144">
            <v>15.24</v>
          </cell>
          <cell r="G144">
            <v>361.18</v>
          </cell>
          <cell r="H144">
            <v>5504.3832000000002</v>
          </cell>
        </row>
        <row r="145">
          <cell r="A145">
            <v>136</v>
          </cell>
          <cell r="B145" t="str">
            <v>05.07.45</v>
          </cell>
          <cell r="D145" t="str">
            <v xml:space="preserve"> FCK&gt;=25.0 MPA USINADO</v>
          </cell>
          <cell r="E145" t="str">
            <v>M3</v>
          </cell>
          <cell r="F145">
            <v>6128.33</v>
          </cell>
          <cell r="G145">
            <v>390.46</v>
          </cell>
          <cell r="H145">
            <v>2392867.7317999997</v>
          </cell>
        </row>
        <row r="146">
          <cell r="A146">
            <v>137</v>
          </cell>
          <cell r="B146" t="str">
            <v>05.09.00</v>
          </cell>
          <cell r="D146" t="str">
            <v xml:space="preserve"> FORNECIMENTO E LANÇAMENTO DE MATERIAL DRENANTE     </v>
          </cell>
          <cell r="E146">
            <v>0</v>
          </cell>
        </row>
        <row r="147">
          <cell r="A147">
            <v>138</v>
          </cell>
          <cell r="B147" t="str">
            <v>05.09.02</v>
          </cell>
          <cell r="D147" t="str">
            <v xml:space="preserve"> BRITA                                              </v>
          </cell>
          <cell r="E147" t="str">
            <v xml:space="preserve"> M3   </v>
          </cell>
          <cell r="F147">
            <v>2874.82</v>
          </cell>
          <cell r="G147">
            <v>114.77</v>
          </cell>
          <cell r="H147">
            <v>329943.09140000003</v>
          </cell>
        </row>
        <row r="148">
          <cell r="A148">
            <v>139</v>
          </cell>
          <cell r="B148" t="str">
            <v>05.09.03</v>
          </cell>
          <cell r="D148" t="str">
            <v xml:space="preserve"> AREIA (COM ADENSAMENTO HIDRAULICO)</v>
          </cell>
          <cell r="E148" t="str">
            <v xml:space="preserve"> M3   </v>
          </cell>
          <cell r="F148">
            <v>5888</v>
          </cell>
          <cell r="G148">
            <v>79.959999999999994</v>
          </cell>
          <cell r="H148">
            <v>470804.47999999998</v>
          </cell>
        </row>
        <row r="149">
          <cell r="A149">
            <v>140</v>
          </cell>
          <cell r="B149" t="str">
            <v>05.11.00</v>
          </cell>
          <cell r="D149" t="str">
            <v xml:space="preserve"> MANTA DRENANTE GEOTEXTIL                           </v>
          </cell>
          <cell r="E149">
            <v>0</v>
          </cell>
        </row>
        <row r="150">
          <cell r="A150">
            <v>141</v>
          </cell>
          <cell r="B150" t="str">
            <v>05.11.03</v>
          </cell>
          <cell r="D150" t="str">
            <v xml:space="preserve"> MANTA GEOTEXTIL - 300 G/M2 - RES.TRACAO &gt;= 16 KN/M </v>
          </cell>
          <cell r="E150" t="str">
            <v xml:space="preserve"> M2   </v>
          </cell>
          <cell r="F150">
            <v>2818.8</v>
          </cell>
          <cell r="G150">
            <v>5.64</v>
          </cell>
          <cell r="H150">
            <v>15898.031999999999</v>
          </cell>
        </row>
        <row r="151">
          <cell r="A151">
            <v>142</v>
          </cell>
          <cell r="B151" t="str">
            <v>05.13.00</v>
          </cell>
          <cell r="D151" t="str">
            <v xml:space="preserve"> DRENOS DE GALERIA </v>
          </cell>
        </row>
        <row r="152">
          <cell r="A152">
            <v>143</v>
          </cell>
          <cell r="B152" t="str">
            <v>05.13.01</v>
          </cell>
          <cell r="D152" t="str">
            <v xml:space="preserve"> DRENO DE ALÍVIO </v>
          </cell>
          <cell r="E152" t="str">
            <v xml:space="preserve"> UN   </v>
          </cell>
          <cell r="F152">
            <v>2502</v>
          </cell>
          <cell r="G152">
            <v>9.52</v>
          </cell>
          <cell r="H152">
            <v>23819.039999999997</v>
          </cell>
        </row>
        <row r="153">
          <cell r="A153">
            <v>144</v>
          </cell>
          <cell r="B153" t="str">
            <v>05.13.10</v>
          </cell>
          <cell r="D153" t="str">
            <v xml:space="preserve"> LIGAÇÃO DE DRENO EM LATERAL DE GALERIA</v>
          </cell>
          <cell r="E153" t="str">
            <v xml:space="preserve"> UN   </v>
          </cell>
          <cell r="F153">
            <v>30</v>
          </cell>
          <cell r="G153">
            <v>63.04</v>
          </cell>
          <cell r="H153">
            <v>1891.2</v>
          </cell>
        </row>
        <row r="154">
          <cell r="A154">
            <v>145</v>
          </cell>
          <cell r="B154" t="str">
            <v>05.20.00</v>
          </cell>
          <cell r="D154" t="str">
            <v xml:space="preserve"> GABIAO                                             </v>
          </cell>
          <cell r="E154">
            <v>0</v>
          </cell>
        </row>
        <row r="155">
          <cell r="A155">
            <v>146</v>
          </cell>
          <cell r="B155" t="str">
            <v>05.20.01</v>
          </cell>
          <cell r="D155" t="str">
            <v xml:space="preserve"> TIPO CAIXA MALHA 8X10, FIO 2,2MM REVESTIDO EM PVC </v>
          </cell>
          <cell r="E155" t="str">
            <v xml:space="preserve"> M3   </v>
          </cell>
          <cell r="F155">
            <v>420</v>
          </cell>
          <cell r="G155">
            <v>349.24</v>
          </cell>
          <cell r="H155">
            <v>146680.80000000002</v>
          </cell>
        </row>
        <row r="156">
          <cell r="A156">
            <v>147</v>
          </cell>
          <cell r="D156" t="str">
            <v>TOTAL DA ATIVIDADE  "05.00.00"</v>
          </cell>
          <cell r="H156">
            <v>16051678.709899999</v>
          </cell>
        </row>
        <row r="157">
          <cell r="A157">
            <v>148</v>
          </cell>
          <cell r="B157" t="str">
            <v>06.00.00</v>
          </cell>
          <cell r="D157" t="str">
            <v xml:space="preserve"> ESTRUTURAS DE CONCRETO E METALICA                  </v>
          </cell>
          <cell r="E157">
            <v>0</v>
          </cell>
        </row>
        <row r="158">
          <cell r="A158">
            <v>149</v>
          </cell>
          <cell r="B158" t="str">
            <v>06.01.00</v>
          </cell>
          <cell r="D158" t="str">
            <v xml:space="preserve"> FORMA, ESCORAMENTO E DESFORMA EM ESTRUTURA         </v>
          </cell>
          <cell r="E158">
            <v>0</v>
          </cell>
        </row>
        <row r="159">
          <cell r="A159">
            <v>150</v>
          </cell>
          <cell r="B159" t="str">
            <v>06.01.15</v>
          </cell>
          <cell r="D159" t="str">
            <v xml:space="preserve"> DE COMPENSADO PLASTIFICADO</v>
          </cell>
          <cell r="E159" t="str">
            <v xml:space="preserve"> M2   </v>
          </cell>
          <cell r="F159">
            <v>315.79000000000002</v>
          </cell>
          <cell r="G159">
            <v>53.59</v>
          </cell>
          <cell r="H159">
            <v>16923.186100000003</v>
          </cell>
        </row>
        <row r="160">
          <cell r="A160">
            <v>151</v>
          </cell>
          <cell r="B160" t="str">
            <v>06.03.00</v>
          </cell>
          <cell r="D160" t="str">
            <v xml:space="preserve"> ARMAÇÃO INCL.CORTE, DOBRA E COLOCAÇÃO EM ESTRUTURA </v>
          </cell>
          <cell r="E160">
            <v>0</v>
          </cell>
        </row>
        <row r="161">
          <cell r="A161">
            <v>152</v>
          </cell>
          <cell r="B161" t="str">
            <v>06.03.07</v>
          </cell>
          <cell r="D161" t="str">
            <v xml:space="preserve"> AÇO CA-50/60                                       </v>
          </cell>
          <cell r="E161" t="str">
            <v xml:space="preserve"> KG   </v>
          </cell>
          <cell r="F161">
            <v>5058</v>
          </cell>
          <cell r="G161">
            <v>7.83</v>
          </cell>
          <cell r="H161">
            <v>39604.14</v>
          </cell>
        </row>
        <row r="162">
          <cell r="A162">
            <v>153</v>
          </cell>
          <cell r="B162" t="str">
            <v>06.07.00</v>
          </cell>
          <cell r="D162" t="str">
            <v xml:space="preserve"> CONCRETO USINADO B1, B2 LANÇADO EM ESTRUTURA </v>
          </cell>
        </row>
        <row r="163">
          <cell r="A163">
            <v>154</v>
          </cell>
          <cell r="B163" t="str">
            <v>06.07.09</v>
          </cell>
          <cell r="D163" t="str">
            <v xml:space="preserve"> FCK&gt;=9.0 MPA</v>
          </cell>
          <cell r="E163" t="str">
            <v>M3</v>
          </cell>
          <cell r="F163">
            <v>29.97</v>
          </cell>
          <cell r="G163">
            <v>359.07</v>
          </cell>
          <cell r="H163">
            <v>10761.3279</v>
          </cell>
        </row>
        <row r="164">
          <cell r="A164">
            <v>155</v>
          </cell>
          <cell r="B164" t="str">
            <v>06.07.20</v>
          </cell>
          <cell r="D164" t="str">
            <v xml:space="preserve"> FCK&gt;=20.0 MPA</v>
          </cell>
          <cell r="E164" t="str">
            <v>M3</v>
          </cell>
          <cell r="F164">
            <v>167</v>
          </cell>
          <cell r="G164">
            <v>389.41</v>
          </cell>
          <cell r="H164">
            <v>65031.47</v>
          </cell>
        </row>
        <row r="165">
          <cell r="A165">
            <v>156</v>
          </cell>
          <cell r="B165" t="str">
            <v>06.07.30</v>
          </cell>
          <cell r="D165" t="str">
            <v xml:space="preserve"> FCK&gt;=30.0 MPA</v>
          </cell>
          <cell r="E165" t="str">
            <v>M3</v>
          </cell>
          <cell r="F165">
            <v>1617.82</v>
          </cell>
          <cell r="G165">
            <v>438.9</v>
          </cell>
          <cell r="H165">
            <v>710061.19799999997</v>
          </cell>
        </row>
        <row r="166">
          <cell r="A166">
            <v>157</v>
          </cell>
          <cell r="B166" t="str">
            <v>06.16.00</v>
          </cell>
          <cell r="D166" t="str">
            <v xml:space="preserve"> ESTRUTURA METALICA</v>
          </cell>
        </row>
        <row r="167">
          <cell r="A167">
            <v>158</v>
          </cell>
          <cell r="B167" t="str">
            <v>06.16.01</v>
          </cell>
          <cell r="D167" t="str">
            <v xml:space="preserve"> FORNECIMENTO FABRICAÇÃO E TRANSPORTE E MONTAGEM DE ESTRUTURA METALICA EM AÇO SLC 300.ASTM A36.INCL PINTURA COM ESMALTE SINTETICO E FUNDO OXIDANTE</v>
          </cell>
          <cell r="E167" t="str">
            <v>KG</v>
          </cell>
          <cell r="F167">
            <v>20000</v>
          </cell>
          <cell r="G167">
            <v>10.59</v>
          </cell>
          <cell r="H167">
            <v>211800</v>
          </cell>
        </row>
        <row r="168">
          <cell r="A168">
            <v>159</v>
          </cell>
          <cell r="D168" t="str">
            <v>TOTAL DA ATIVIDADE  "06.00.00"</v>
          </cell>
          <cell r="H168">
            <v>1054181.3219999999</v>
          </cell>
        </row>
        <row r="169">
          <cell r="A169">
            <v>160</v>
          </cell>
          <cell r="B169" t="str">
            <v>10.00.00</v>
          </cell>
          <cell r="D169" t="str">
            <v xml:space="preserve"> INSTALAÇÃO HIDRO-SANITÁRIA, INCENDIO E GAS</v>
          </cell>
        </row>
        <row r="170">
          <cell r="A170">
            <v>161</v>
          </cell>
        </row>
        <row r="171">
          <cell r="A171">
            <v>162</v>
          </cell>
          <cell r="B171" t="str">
            <v>DIRETORIA</v>
          </cell>
          <cell r="C171" t="str">
            <v>UNIDADE</v>
          </cell>
          <cell r="D171" t="str">
            <v>ELABORADO</v>
          </cell>
          <cell r="E171" t="str">
            <v>VISTO</v>
          </cell>
          <cell r="F171" t="str">
            <v>TOTAL</v>
          </cell>
        </row>
        <row r="172">
          <cell r="A172">
            <v>163</v>
          </cell>
          <cell r="B172" t="str">
            <v>SP/DOF</v>
          </cell>
          <cell r="C172" t="str">
            <v>DOF/DPF</v>
          </cell>
          <cell r="G172" t="str">
            <v>ANTERIOR</v>
          </cell>
          <cell r="H172">
            <v>39824463.998499997</v>
          </cell>
        </row>
        <row r="173">
          <cell r="A173">
            <v>164</v>
          </cell>
          <cell r="B173" t="str">
            <v xml:space="preserve">ORÇAMENTO Nº </v>
          </cell>
          <cell r="C173" t="str">
            <v>DATA</v>
          </cell>
          <cell r="G173" t="str">
            <v>FOLHA</v>
          </cell>
          <cell r="H173">
            <v>11707670.497499999</v>
          </cell>
        </row>
        <row r="174">
          <cell r="A174">
            <v>165</v>
          </cell>
          <cell r="B174" t="str">
            <v>0077/13</v>
          </cell>
          <cell r="C174">
            <v>41494</v>
          </cell>
          <cell r="G174" t="str">
            <v>TOTAL</v>
          </cell>
          <cell r="H174">
            <v>51532134.495999992</v>
          </cell>
        </row>
        <row r="175">
          <cell r="A175">
            <v>166</v>
          </cell>
          <cell r="B175" t="str">
            <v>10.47.00</v>
          </cell>
          <cell r="D175" t="str">
            <v xml:space="preserve"> BEBEDOURO E FILTRO</v>
          </cell>
        </row>
        <row r="176">
          <cell r="A176">
            <v>167</v>
          </cell>
          <cell r="B176" t="str">
            <v>10.47.03</v>
          </cell>
          <cell r="D176" t="str">
            <v xml:space="preserve"> BEBEDOURO MG-F 80 INOX</v>
          </cell>
          <cell r="E176" t="str">
            <v xml:space="preserve"> UN   </v>
          </cell>
          <cell r="F176">
            <v>3</v>
          </cell>
          <cell r="G176">
            <v>1061.07</v>
          </cell>
          <cell r="H176">
            <v>3183.21</v>
          </cell>
        </row>
        <row r="177">
          <cell r="A177">
            <v>168</v>
          </cell>
          <cell r="D177" t="str">
            <v>TOTAL DA ATIVIDADE  "10.00.00"</v>
          </cell>
          <cell r="H177">
            <v>3183.21</v>
          </cell>
        </row>
        <row r="178">
          <cell r="A178">
            <v>169</v>
          </cell>
          <cell r="B178" t="str">
            <v>13.00.00</v>
          </cell>
          <cell r="D178" t="str">
            <v xml:space="preserve"> SERRALHERIA                                        </v>
          </cell>
          <cell r="E178">
            <v>0</v>
          </cell>
        </row>
        <row r="179">
          <cell r="A179">
            <v>170</v>
          </cell>
          <cell r="B179" t="str">
            <v>13.32.00</v>
          </cell>
          <cell r="D179" t="str">
            <v xml:space="preserve"> PORTÃO EM CHAPA E PERFIL DE FERRO                  </v>
          </cell>
          <cell r="E179">
            <v>0</v>
          </cell>
        </row>
        <row r="180">
          <cell r="A180">
            <v>171</v>
          </cell>
          <cell r="B180" t="str">
            <v>13.32.02</v>
          </cell>
          <cell r="D180" t="str">
            <v xml:space="preserve"> PCH2-300X240CM-CHAPA TRAPEZOIDAL 18, 2 FOL. ABRIR  </v>
          </cell>
          <cell r="E180" t="str">
            <v xml:space="preserve"> UN   </v>
          </cell>
          <cell r="F180">
            <v>3</v>
          </cell>
          <cell r="G180">
            <v>2050.14</v>
          </cell>
          <cell r="H180">
            <v>6150.42</v>
          </cell>
        </row>
        <row r="181">
          <cell r="A181">
            <v>172</v>
          </cell>
          <cell r="B181" t="str">
            <v>13.40.00</v>
          </cell>
          <cell r="D181" t="str">
            <v xml:space="preserve"> GUARDA-CORPO E CORRIMAO</v>
          </cell>
        </row>
        <row r="182">
          <cell r="A182">
            <v>173</v>
          </cell>
          <cell r="B182" t="str">
            <v>13.40.02</v>
          </cell>
          <cell r="D182" t="str">
            <v xml:space="preserve"> TIPO B- BARRAS DE AÇO</v>
          </cell>
          <cell r="E182" t="str">
            <v>M</v>
          </cell>
          <cell r="F182">
            <v>39.79</v>
          </cell>
          <cell r="G182">
            <v>248.87</v>
          </cell>
          <cell r="H182">
            <v>9902.5373</v>
          </cell>
        </row>
        <row r="183">
          <cell r="A183">
            <v>174</v>
          </cell>
          <cell r="D183" t="str">
            <v>TOTAL DA ATIVIDADE  "13.00.00"</v>
          </cell>
          <cell r="H183">
            <v>16052.9573</v>
          </cell>
        </row>
        <row r="184">
          <cell r="A184">
            <v>175</v>
          </cell>
          <cell r="B184" t="str">
            <v>15.00.00</v>
          </cell>
          <cell r="D184" t="str">
            <v xml:space="preserve"> PISOS, RODAPES, SOLEIRAS E PEITORIS</v>
          </cell>
        </row>
        <row r="185">
          <cell r="A185">
            <v>176</v>
          </cell>
          <cell r="B185" t="str">
            <v>15.35.00</v>
          </cell>
          <cell r="D185" t="str">
            <v xml:space="preserve"> PISO DE CONCRETO (PATIO)</v>
          </cell>
        </row>
        <row r="186">
          <cell r="A186">
            <v>177</v>
          </cell>
          <cell r="B186" t="str">
            <v>15.35.25</v>
          </cell>
          <cell r="D186" t="str">
            <v xml:space="preserve"> CONC.10MPA 6CM, ARG.1:3 2CM, JUNTA SECA 3M MANUAL</v>
          </cell>
          <cell r="E186" t="str">
            <v>M2</v>
          </cell>
          <cell r="F186">
            <v>4629.2700000000004</v>
          </cell>
          <cell r="G186">
            <v>48.57</v>
          </cell>
          <cell r="H186">
            <v>224843.64390000002</v>
          </cell>
        </row>
        <row r="187">
          <cell r="A187">
            <v>178</v>
          </cell>
          <cell r="D187" t="str">
            <v>TOTAL DA ATIVIDADE  "15.00.00"</v>
          </cell>
          <cell r="H187">
            <v>224843.64390000002</v>
          </cell>
        </row>
        <row r="188">
          <cell r="A188">
            <v>179</v>
          </cell>
          <cell r="B188" t="str">
            <v>17.00.00</v>
          </cell>
          <cell r="D188" t="str">
            <v xml:space="preserve"> PINTURA                                            </v>
          </cell>
          <cell r="E188">
            <v>0</v>
          </cell>
        </row>
        <row r="189">
          <cell r="A189">
            <v>180</v>
          </cell>
          <cell r="B189" t="str">
            <v>17.25.00</v>
          </cell>
          <cell r="D189" t="str">
            <v xml:space="preserve"> PINTURA ESMALTE SINTETICO                          </v>
          </cell>
          <cell r="E189">
            <v>0</v>
          </cell>
        </row>
        <row r="190">
          <cell r="A190">
            <v>181</v>
          </cell>
          <cell r="B190" t="str">
            <v>17.25.35</v>
          </cell>
          <cell r="D190" t="str">
            <v xml:space="preserve"> ACETINADO C/FUNDO ANTIOXIDANTE EM SUPERF.METALICA  </v>
          </cell>
          <cell r="E190" t="str">
            <v xml:space="preserve"> M2   </v>
          </cell>
          <cell r="F190">
            <v>43.2</v>
          </cell>
          <cell r="G190">
            <v>19.34</v>
          </cell>
          <cell r="H190">
            <v>835.48800000000006</v>
          </cell>
        </row>
        <row r="191">
          <cell r="A191">
            <v>182</v>
          </cell>
          <cell r="D191" t="str">
            <v>TOTAL DA ATIVIDADE  "17.00.00"</v>
          </cell>
          <cell r="H191">
            <v>835.48800000000006</v>
          </cell>
        </row>
        <row r="192">
          <cell r="A192">
            <v>183</v>
          </cell>
          <cell r="B192" t="str">
            <v>18.00.00</v>
          </cell>
          <cell r="D192" t="str">
            <v xml:space="preserve"> SERVICOS DIVERSOS</v>
          </cell>
        </row>
        <row r="193">
          <cell r="A193">
            <v>184</v>
          </cell>
          <cell r="B193" t="str">
            <v>18.10.00</v>
          </cell>
          <cell r="D193" t="str">
            <v xml:space="preserve"> BANCOS E MESAS</v>
          </cell>
        </row>
        <row r="194">
          <cell r="A194">
            <v>185</v>
          </cell>
          <cell r="B194" t="str">
            <v>18.10.03</v>
          </cell>
          <cell r="D194" t="str">
            <v xml:space="preserve"> BANCO PRE-MOLDADO CONCRETO 45X150X45CM PREMO/SIMI</v>
          </cell>
          <cell r="E194" t="str">
            <v xml:space="preserve"> UN   </v>
          </cell>
          <cell r="F194">
            <v>36</v>
          </cell>
          <cell r="G194">
            <v>318.76</v>
          </cell>
          <cell r="H194">
            <v>11475.36</v>
          </cell>
        </row>
        <row r="195">
          <cell r="A195">
            <v>186</v>
          </cell>
          <cell r="B195" t="str">
            <v>18.10.05</v>
          </cell>
          <cell r="D195" t="str">
            <v xml:space="preserve"> CONJUNTO DE MESA E 2 BANCOS DE CONCRETO PARA JOGOS</v>
          </cell>
          <cell r="E195" t="str">
            <v>CJ</v>
          </cell>
          <cell r="F195">
            <v>22</v>
          </cell>
          <cell r="G195">
            <v>659.07</v>
          </cell>
          <cell r="H195">
            <v>14499.54</v>
          </cell>
        </row>
        <row r="196">
          <cell r="A196">
            <v>187</v>
          </cell>
          <cell r="B196" t="str">
            <v>18.50.00</v>
          </cell>
          <cell r="D196" t="str">
            <v xml:space="preserve"> EQUIPAMENTO PARA PLAYGROUND METALICO</v>
          </cell>
        </row>
        <row r="197">
          <cell r="A197">
            <v>188</v>
          </cell>
          <cell r="B197" t="str">
            <v>18.50.05</v>
          </cell>
          <cell r="D197" t="str">
            <v xml:space="preserve"> ESCORREGADOR MEDIO</v>
          </cell>
          <cell r="E197" t="str">
            <v xml:space="preserve"> UN   </v>
          </cell>
          <cell r="F197">
            <v>3</v>
          </cell>
          <cell r="G197">
            <v>682.26</v>
          </cell>
          <cell r="H197">
            <v>2046.78</v>
          </cell>
        </row>
        <row r="198">
          <cell r="A198">
            <v>189</v>
          </cell>
          <cell r="B198" t="str">
            <v>18.50.06</v>
          </cell>
          <cell r="D198" t="str">
            <v xml:space="preserve"> GANGORRA COM DOIS LUGARES</v>
          </cell>
          <cell r="E198" t="str">
            <v xml:space="preserve"> UN   </v>
          </cell>
          <cell r="F198">
            <v>2</v>
          </cell>
          <cell r="G198">
            <v>1055.56</v>
          </cell>
          <cell r="H198">
            <v>2111.12</v>
          </cell>
        </row>
        <row r="199">
          <cell r="A199">
            <v>190</v>
          </cell>
          <cell r="B199" t="str">
            <v>18.50.07</v>
          </cell>
          <cell r="D199" t="str">
            <v xml:space="preserve"> ZANGA BURRINHO COM 2 PRANCHAS</v>
          </cell>
          <cell r="E199" t="str">
            <v xml:space="preserve"> UN   </v>
          </cell>
          <cell r="F199">
            <v>2</v>
          </cell>
          <cell r="G199">
            <v>738</v>
          </cell>
          <cell r="H199">
            <v>1476</v>
          </cell>
        </row>
        <row r="200">
          <cell r="A200">
            <v>191</v>
          </cell>
          <cell r="B200" t="str">
            <v>18.50.08</v>
          </cell>
          <cell r="D200" t="str">
            <v xml:space="preserve"> BARRA FIXA</v>
          </cell>
          <cell r="E200" t="str">
            <v xml:space="preserve"> UN   </v>
          </cell>
          <cell r="F200">
            <v>2</v>
          </cell>
          <cell r="G200">
            <v>1197.6099999999999</v>
          </cell>
          <cell r="H200">
            <v>2395.2199999999998</v>
          </cell>
        </row>
        <row r="201">
          <cell r="A201">
            <v>192</v>
          </cell>
          <cell r="B201" t="str">
            <v>18.50.09</v>
          </cell>
          <cell r="D201" t="str">
            <v xml:space="preserve"> ESCADA HORIZONTAL</v>
          </cell>
          <cell r="E201" t="str">
            <v xml:space="preserve"> UN   </v>
          </cell>
          <cell r="F201">
            <v>2</v>
          </cell>
          <cell r="G201">
            <v>1279.57</v>
          </cell>
          <cell r="H201">
            <v>2559.14</v>
          </cell>
        </row>
        <row r="202">
          <cell r="A202">
            <v>193</v>
          </cell>
          <cell r="B202" t="str">
            <v>18.50.10</v>
          </cell>
          <cell r="D202" t="str">
            <v xml:space="preserve"> BARRAS DE ALONGAMENTO</v>
          </cell>
          <cell r="E202" t="str">
            <v xml:space="preserve"> UN   </v>
          </cell>
          <cell r="F202">
            <v>2</v>
          </cell>
          <cell r="G202">
            <v>1197.6099999999999</v>
          </cell>
          <cell r="H202">
            <v>2395.2199999999998</v>
          </cell>
        </row>
        <row r="203">
          <cell r="A203">
            <v>194</v>
          </cell>
          <cell r="D203" t="str">
            <v>TOTAL DA ATIVIDADE  "18.00.00"</v>
          </cell>
          <cell r="H203">
            <v>38958.379999999997</v>
          </cell>
        </row>
        <row r="204">
          <cell r="A204">
            <v>194.1</v>
          </cell>
          <cell r="B204" t="str">
            <v>19.00.00</v>
          </cell>
          <cell r="D204" t="str">
            <v xml:space="preserve"> DRENAGEM                                           </v>
          </cell>
          <cell r="E204">
            <v>0</v>
          </cell>
        </row>
        <row r="205">
          <cell r="A205">
            <v>196</v>
          </cell>
          <cell r="B205" t="str">
            <v>19.04.00</v>
          </cell>
          <cell r="D205" t="str">
            <v xml:space="preserve"> REDE TUB. CONCRETO CIMENTO ARI PLUS RS CLASSE PA-1</v>
          </cell>
        </row>
        <row r="206">
          <cell r="A206">
            <v>197</v>
          </cell>
          <cell r="B206" t="str">
            <v>19.04.01</v>
          </cell>
          <cell r="D206" t="str">
            <v xml:space="preserve"> DN= 400 MM</v>
          </cell>
          <cell r="E206" t="str">
            <v>M</v>
          </cell>
          <cell r="F206">
            <v>437.37</v>
          </cell>
          <cell r="G206">
            <v>100.73</v>
          </cell>
          <cell r="H206">
            <v>44056.280100000004</v>
          </cell>
        </row>
        <row r="207">
          <cell r="A207">
            <v>198</v>
          </cell>
          <cell r="B207" t="str">
            <v>19.04.03</v>
          </cell>
          <cell r="D207" t="str">
            <v xml:space="preserve"> DN= 600 MM</v>
          </cell>
          <cell r="E207" t="str">
            <v>M</v>
          </cell>
          <cell r="F207">
            <v>179</v>
          </cell>
          <cell r="G207">
            <v>165.27</v>
          </cell>
          <cell r="H207">
            <v>29583.33</v>
          </cell>
        </row>
        <row r="208">
          <cell r="A208">
            <v>199</v>
          </cell>
          <cell r="B208" t="str">
            <v>19.04.03</v>
          </cell>
          <cell r="D208" t="str">
            <v xml:space="preserve"> DN= 800 MM</v>
          </cell>
          <cell r="E208" t="str">
            <v>M</v>
          </cell>
          <cell r="F208">
            <v>12</v>
          </cell>
          <cell r="G208">
            <v>253.25</v>
          </cell>
          <cell r="H208">
            <v>3039</v>
          </cell>
        </row>
        <row r="209">
          <cell r="A209">
            <v>200</v>
          </cell>
          <cell r="B209" t="str">
            <v>19.04.07</v>
          </cell>
          <cell r="D209" t="str">
            <v xml:space="preserve"> DN= 1000 MM</v>
          </cell>
          <cell r="E209" t="str">
            <v>M</v>
          </cell>
          <cell r="F209">
            <v>62.69</v>
          </cell>
          <cell r="G209">
            <v>395.07</v>
          </cell>
          <cell r="H209">
            <v>24766.938299999998</v>
          </cell>
        </row>
        <row r="210">
          <cell r="A210">
            <v>201</v>
          </cell>
          <cell r="B210" t="str">
            <v>19.04.09</v>
          </cell>
          <cell r="D210" t="str">
            <v xml:space="preserve"> DN= 1200 MM</v>
          </cell>
          <cell r="E210" t="str">
            <v>M</v>
          </cell>
          <cell r="F210">
            <v>330</v>
          </cell>
          <cell r="G210">
            <v>512.83000000000004</v>
          </cell>
          <cell r="H210">
            <v>169233.90000000002</v>
          </cell>
        </row>
        <row r="211">
          <cell r="A211">
            <v>202</v>
          </cell>
          <cell r="B211" t="str">
            <v>19.05.00</v>
          </cell>
          <cell r="D211" t="str">
            <v xml:space="preserve"> REDE TUB. CONCRETO CIMENTO ARI PLUS RS CLASSE PA-2 </v>
          </cell>
          <cell r="E211">
            <v>0</v>
          </cell>
        </row>
        <row r="212">
          <cell r="A212">
            <v>203</v>
          </cell>
          <cell r="B212" t="str">
            <v>19.05.03</v>
          </cell>
          <cell r="D212" t="str">
            <v xml:space="preserve"> DN=  600 MM                                        </v>
          </cell>
          <cell r="E212" t="str">
            <v xml:space="preserve"> M    </v>
          </cell>
          <cell r="F212">
            <v>7.5</v>
          </cell>
          <cell r="G212">
            <v>179.47</v>
          </cell>
          <cell r="H212">
            <v>1346.0250000000001</v>
          </cell>
        </row>
        <row r="213">
          <cell r="A213">
            <v>204</v>
          </cell>
        </row>
        <row r="214">
          <cell r="A214">
            <v>205</v>
          </cell>
          <cell r="B214" t="str">
            <v>DIRETORIA</v>
          </cell>
          <cell r="C214" t="str">
            <v>UNIDADE</v>
          </cell>
          <cell r="D214" t="str">
            <v>ELABORADO</v>
          </cell>
          <cell r="E214" t="str">
            <v>VISTO</v>
          </cell>
          <cell r="F214" t="str">
            <v>TOTAL</v>
          </cell>
        </row>
        <row r="215">
          <cell r="A215">
            <v>206</v>
          </cell>
          <cell r="B215" t="str">
            <v>SP/DOF</v>
          </cell>
          <cell r="C215" t="str">
            <v>DOF/DPF</v>
          </cell>
          <cell r="G215" t="str">
            <v>ANTERIOR</v>
          </cell>
          <cell r="H215">
            <v>51532134.495999992</v>
          </cell>
        </row>
        <row r="216">
          <cell r="A216">
            <v>207</v>
          </cell>
          <cell r="B216" t="str">
            <v xml:space="preserve">ORÇAMENTO Nº </v>
          </cell>
          <cell r="C216" t="str">
            <v>DATA</v>
          </cell>
          <cell r="G216" t="str">
            <v>FOLHA</v>
          </cell>
          <cell r="H216">
            <v>555899.15260000003</v>
          </cell>
        </row>
        <row r="217">
          <cell r="A217">
            <v>208</v>
          </cell>
          <cell r="B217" t="str">
            <v>0077/13</v>
          </cell>
          <cell r="C217">
            <v>41494</v>
          </cell>
          <cell r="G217" t="str">
            <v>TOTAL</v>
          </cell>
          <cell r="H217">
            <v>52088033.64859999</v>
          </cell>
        </row>
        <row r="218">
          <cell r="A218">
            <v>209</v>
          </cell>
          <cell r="B218" t="str">
            <v>19.07.00</v>
          </cell>
          <cell r="D218" t="str">
            <v xml:space="preserve"> CONCRETO PARA BERÇO DE REDE TUBULAR                </v>
          </cell>
          <cell r="E218">
            <v>0</v>
          </cell>
        </row>
        <row r="219">
          <cell r="A219">
            <v>210</v>
          </cell>
          <cell r="B219" t="str">
            <v>19.07.01</v>
          </cell>
          <cell r="D219" t="str">
            <v xml:space="preserve"> TRAÇO 1:3:6, INCLUSIVE LANÇAMENTO                  </v>
          </cell>
          <cell r="E219" t="str">
            <v xml:space="preserve"> M3   </v>
          </cell>
          <cell r="F219">
            <v>458.33</v>
          </cell>
          <cell r="G219">
            <v>377.33</v>
          </cell>
          <cell r="H219">
            <v>172941.65889999998</v>
          </cell>
        </row>
        <row r="220">
          <cell r="A220">
            <v>211</v>
          </cell>
          <cell r="B220" t="str">
            <v>19.08.00</v>
          </cell>
          <cell r="D220" t="str">
            <v xml:space="preserve"> FORMA PARA BERÇO                                   </v>
          </cell>
          <cell r="E220">
            <v>0</v>
          </cell>
        </row>
        <row r="221">
          <cell r="A221">
            <v>212</v>
          </cell>
          <cell r="B221" t="str">
            <v>19.08.01</v>
          </cell>
          <cell r="D221" t="str">
            <v xml:space="preserve"> EM TABUA, INCLUSIVE DESFORMA                       </v>
          </cell>
          <cell r="E221" t="str">
            <v xml:space="preserve"> M2   </v>
          </cell>
          <cell r="F221">
            <v>825.65</v>
          </cell>
          <cell r="G221">
            <v>19.62</v>
          </cell>
          <cell r="H221">
            <v>16199.253000000001</v>
          </cell>
        </row>
        <row r="222">
          <cell r="A222">
            <v>213</v>
          </cell>
          <cell r="B222" t="str">
            <v>19.10.00</v>
          </cell>
          <cell r="D222" t="str">
            <v xml:space="preserve"> ALA DE REDE TUBULAR                                </v>
          </cell>
          <cell r="E222">
            <v>0</v>
          </cell>
        </row>
        <row r="223">
          <cell r="A223">
            <v>214</v>
          </cell>
          <cell r="B223" t="str">
            <v>19.10.03</v>
          </cell>
          <cell r="D223" t="str">
            <v xml:space="preserve"> D=  600 MM                                         </v>
          </cell>
          <cell r="E223" t="str">
            <v xml:space="preserve"> UN   </v>
          </cell>
          <cell r="F223">
            <v>1</v>
          </cell>
          <cell r="G223">
            <v>851.91</v>
          </cell>
          <cell r="H223">
            <v>851.91</v>
          </cell>
        </row>
        <row r="224">
          <cell r="A224">
            <v>215</v>
          </cell>
          <cell r="B224" t="str">
            <v>19.11.00</v>
          </cell>
          <cell r="D224" t="str">
            <v xml:space="preserve"> CAIXA PARA BOCA LOBO                               </v>
          </cell>
          <cell r="E224">
            <v>0</v>
          </cell>
        </row>
        <row r="225">
          <cell r="A225">
            <v>216</v>
          </cell>
          <cell r="B225" t="str">
            <v>05.03.01</v>
          </cell>
          <cell r="D225" t="str">
            <v xml:space="preserve"> DUPLA                                              </v>
          </cell>
          <cell r="E225" t="str">
            <v xml:space="preserve"> UN   </v>
          </cell>
          <cell r="F225">
            <v>89</v>
          </cell>
          <cell r="G225">
            <v>1566.13</v>
          </cell>
          <cell r="H225">
            <v>139385.57</v>
          </cell>
        </row>
        <row r="226">
          <cell r="A226">
            <v>217</v>
          </cell>
          <cell r="B226" t="str">
            <v>19.12.00</v>
          </cell>
          <cell r="D226" t="str">
            <v xml:space="preserve"> ALTEAMENTO DE CAIXA PARA BOCA DE LOBO              </v>
          </cell>
          <cell r="E226">
            <v>0</v>
          </cell>
        </row>
        <row r="227">
          <cell r="A227">
            <v>218</v>
          </cell>
          <cell r="B227" t="str">
            <v>19.12.02</v>
          </cell>
          <cell r="D227" t="str">
            <v xml:space="preserve"> DUPLA                                              </v>
          </cell>
          <cell r="E227" t="str">
            <v xml:space="preserve"> M    </v>
          </cell>
          <cell r="F227">
            <v>18</v>
          </cell>
          <cell r="G227">
            <v>1287.8499999999999</v>
          </cell>
          <cell r="H227">
            <v>23181.3</v>
          </cell>
        </row>
        <row r="228">
          <cell r="A228">
            <v>219</v>
          </cell>
          <cell r="B228" t="str">
            <v>19.13.00</v>
          </cell>
          <cell r="D228" t="str">
            <v xml:space="preserve"> CONJUNTO QUADRO E GRELHA PARA BOCA DE LOBO         </v>
          </cell>
          <cell r="E228">
            <v>0</v>
          </cell>
        </row>
        <row r="229">
          <cell r="A229">
            <v>220</v>
          </cell>
          <cell r="B229" t="str">
            <v>19.13.02</v>
          </cell>
          <cell r="D229" t="str">
            <v xml:space="preserve"> TIPO B (CONCRETO) - PADRÃO SUDECAP</v>
          </cell>
          <cell r="E229" t="str">
            <v xml:space="preserve"> UN   </v>
          </cell>
          <cell r="F229">
            <v>178</v>
          </cell>
          <cell r="G229">
            <v>207.4</v>
          </cell>
          <cell r="H229">
            <v>36917.200000000004</v>
          </cell>
        </row>
        <row r="230">
          <cell r="A230">
            <v>221</v>
          </cell>
          <cell r="B230" t="str">
            <v>19.14.00</v>
          </cell>
          <cell r="D230" t="str">
            <v xml:space="preserve"> CANTONEIRA PARA BOCA DE LOBO                       </v>
          </cell>
          <cell r="E230">
            <v>0</v>
          </cell>
        </row>
        <row r="231">
          <cell r="A231">
            <v>222</v>
          </cell>
          <cell r="B231" t="str">
            <v>19.14.02</v>
          </cell>
          <cell r="D231" t="str">
            <v xml:space="preserve"> TIPO B (CONCRETO) - PADRÃO SUDECAP</v>
          </cell>
          <cell r="E231" t="str">
            <v xml:space="preserve"> UN   </v>
          </cell>
          <cell r="F231">
            <v>178</v>
          </cell>
          <cell r="G231">
            <v>75.75</v>
          </cell>
          <cell r="H231">
            <v>13483.5</v>
          </cell>
        </row>
        <row r="232">
          <cell r="A232">
            <v>223</v>
          </cell>
          <cell r="B232" t="str">
            <v>19.15.00</v>
          </cell>
          <cell r="D232" t="str">
            <v xml:space="preserve"> CAIXA DE PASSAGEM TIPO A - PADRÃO SUDECAP          </v>
          </cell>
          <cell r="E232">
            <v>0</v>
          </cell>
        </row>
        <row r="233">
          <cell r="A233">
            <v>224</v>
          </cell>
          <cell r="B233" t="str">
            <v>19.15.09</v>
          </cell>
          <cell r="D233" t="str">
            <v xml:space="preserve"> D= 1200 MM                                         </v>
          </cell>
          <cell r="E233" t="str">
            <v xml:space="preserve"> UN   </v>
          </cell>
          <cell r="F233">
            <v>2</v>
          </cell>
          <cell r="G233">
            <v>2575.3000000000002</v>
          </cell>
          <cell r="H233">
            <v>5150.6000000000004</v>
          </cell>
        </row>
        <row r="234">
          <cell r="A234">
            <v>225</v>
          </cell>
          <cell r="B234" t="str">
            <v>19.18.00</v>
          </cell>
          <cell r="D234" t="str">
            <v xml:space="preserve"> POÇO DE VISITA TIPO A - PADRÃO SUDECAP             </v>
          </cell>
          <cell r="E234">
            <v>0</v>
          </cell>
        </row>
        <row r="235">
          <cell r="A235">
            <v>226</v>
          </cell>
          <cell r="B235" t="str">
            <v>19.18.03</v>
          </cell>
          <cell r="D235" t="str">
            <v xml:space="preserve"> D=  600 MM                                         </v>
          </cell>
          <cell r="E235" t="str">
            <v xml:space="preserve"> UN   </v>
          </cell>
          <cell r="F235">
            <v>7</v>
          </cell>
          <cell r="G235">
            <v>1520.94</v>
          </cell>
          <cell r="H235">
            <v>10646.58</v>
          </cell>
        </row>
        <row r="236">
          <cell r="A236">
            <v>227</v>
          </cell>
          <cell r="B236" t="str">
            <v>19.18.05</v>
          </cell>
          <cell r="D236" t="str">
            <v xml:space="preserve"> D=  800 MM                                         </v>
          </cell>
          <cell r="E236" t="str">
            <v xml:space="preserve"> UN   </v>
          </cell>
          <cell r="F236">
            <v>1</v>
          </cell>
          <cell r="G236">
            <v>1785.36</v>
          </cell>
          <cell r="H236">
            <v>1785.36</v>
          </cell>
        </row>
        <row r="237">
          <cell r="A237">
            <v>228</v>
          </cell>
          <cell r="B237" t="str">
            <v>19.18.07</v>
          </cell>
          <cell r="D237" t="str">
            <v xml:space="preserve"> D= 1000 MM                                         </v>
          </cell>
          <cell r="E237" t="str">
            <v xml:space="preserve"> UN   </v>
          </cell>
          <cell r="F237">
            <v>2</v>
          </cell>
          <cell r="G237">
            <v>2131.4499999999998</v>
          </cell>
          <cell r="H237">
            <v>4262.8999999999996</v>
          </cell>
        </row>
        <row r="238">
          <cell r="A238">
            <v>229</v>
          </cell>
          <cell r="B238" t="str">
            <v>19.18.09</v>
          </cell>
          <cell r="D238" t="str">
            <v xml:space="preserve"> D= 1200 MM                                         </v>
          </cell>
          <cell r="E238" t="str">
            <v xml:space="preserve"> UN   </v>
          </cell>
          <cell r="F238">
            <v>5</v>
          </cell>
          <cell r="G238">
            <v>2756.51</v>
          </cell>
          <cell r="H238">
            <v>13782.550000000001</v>
          </cell>
        </row>
        <row r="239">
          <cell r="A239">
            <v>230</v>
          </cell>
          <cell r="B239" t="str">
            <v>19.19.00</v>
          </cell>
          <cell r="D239" t="str">
            <v xml:space="preserve"> POÇO DE VISITA TIPO B - PADRÃO SUDECAP             </v>
          </cell>
          <cell r="E239">
            <v>0</v>
          </cell>
        </row>
        <row r="240">
          <cell r="A240">
            <v>231</v>
          </cell>
          <cell r="B240" t="str">
            <v>19.19.03</v>
          </cell>
          <cell r="D240" t="str">
            <v xml:space="preserve"> D= 600 MM                                         </v>
          </cell>
          <cell r="E240" t="str">
            <v xml:space="preserve"> UN   </v>
          </cell>
          <cell r="F240">
            <v>1</v>
          </cell>
          <cell r="G240">
            <v>1930.92</v>
          </cell>
          <cell r="H240">
            <v>1930.92</v>
          </cell>
        </row>
        <row r="241">
          <cell r="A241">
            <v>232</v>
          </cell>
          <cell r="B241" t="str">
            <v>19.19.07</v>
          </cell>
          <cell r="D241" t="str">
            <v xml:space="preserve"> D= 1000 MM                                         </v>
          </cell>
          <cell r="E241" t="str">
            <v xml:space="preserve"> UN   </v>
          </cell>
          <cell r="F241">
            <v>1</v>
          </cell>
          <cell r="G241">
            <v>2545.58</v>
          </cell>
          <cell r="H241">
            <v>2545.58</v>
          </cell>
        </row>
        <row r="242">
          <cell r="A242">
            <v>233</v>
          </cell>
          <cell r="B242" t="str">
            <v>19.19.09</v>
          </cell>
          <cell r="D242" t="str">
            <v xml:space="preserve"> D= 1200 MM                                         </v>
          </cell>
          <cell r="E242" t="str">
            <v xml:space="preserve"> UN   </v>
          </cell>
          <cell r="F242">
            <v>7</v>
          </cell>
          <cell r="G242">
            <v>2965.52</v>
          </cell>
          <cell r="H242">
            <v>20758.64</v>
          </cell>
        </row>
        <row r="243">
          <cell r="A243">
            <v>234</v>
          </cell>
          <cell r="B243" t="str">
            <v>19.20.00</v>
          </cell>
          <cell r="D243" t="str">
            <v xml:space="preserve"> POÇO DE VISITA TIPO C - PADRÃO SUDECAP             </v>
          </cell>
          <cell r="E243">
            <v>0</v>
          </cell>
        </row>
        <row r="244">
          <cell r="A244">
            <v>235</v>
          </cell>
          <cell r="B244" t="str">
            <v>19.20.09</v>
          </cell>
          <cell r="D244" t="str">
            <v xml:space="preserve"> D= 1200 MM                                         </v>
          </cell>
          <cell r="E244" t="str">
            <v xml:space="preserve"> UN   </v>
          </cell>
          <cell r="F244">
            <v>4</v>
          </cell>
          <cell r="G244">
            <v>3313.99</v>
          </cell>
          <cell r="H244">
            <v>13255.96</v>
          </cell>
        </row>
        <row r="245">
          <cell r="A245">
            <v>236</v>
          </cell>
          <cell r="B245" t="str">
            <v>19.21.00</v>
          </cell>
          <cell r="D245" t="str">
            <v xml:space="preserve"> CHAMINE DE POÇO DE VISITA - PADRÃO SUDECAP         </v>
          </cell>
          <cell r="E245">
            <v>0</v>
          </cell>
        </row>
        <row r="246">
          <cell r="A246">
            <v>237</v>
          </cell>
          <cell r="B246" t="str">
            <v>19.21.01</v>
          </cell>
          <cell r="D246" t="str">
            <v xml:space="preserve"> TIPO A-ALVEN. E=20 CM REVESTIDA, C/ DEGRAUS AÇO CA 25 </v>
          </cell>
          <cell r="E246" t="str">
            <v xml:space="preserve"> M    </v>
          </cell>
          <cell r="F246">
            <v>28</v>
          </cell>
          <cell r="G246">
            <v>647.75</v>
          </cell>
          <cell r="H246">
            <v>18137</v>
          </cell>
        </row>
        <row r="247">
          <cell r="A247">
            <v>238</v>
          </cell>
          <cell r="B247" t="str">
            <v>19.22.00</v>
          </cell>
          <cell r="D247" t="str">
            <v xml:space="preserve"> TAMPÃO DE POÇO DE VISITA                           </v>
          </cell>
          <cell r="E247">
            <v>0</v>
          </cell>
        </row>
        <row r="248">
          <cell r="A248">
            <v>239</v>
          </cell>
          <cell r="B248" t="str">
            <v>19.22.01</v>
          </cell>
          <cell r="D248" t="str">
            <v xml:space="preserve"> FERRO FUNDIDO CINZENTO           </v>
          </cell>
          <cell r="E248" t="str">
            <v xml:space="preserve"> UN   </v>
          </cell>
          <cell r="F248">
            <v>28</v>
          </cell>
          <cell r="G248">
            <v>737.83</v>
          </cell>
          <cell r="H248">
            <v>20659.240000000002</v>
          </cell>
        </row>
        <row r="249">
          <cell r="A249">
            <v>240</v>
          </cell>
          <cell r="B249" t="str">
            <v>19.23.00</v>
          </cell>
          <cell r="D249" t="str">
            <v xml:space="preserve"> DESCIDA D'AGUA TIPO DEGRAU - PADRÃO SUDECAP        </v>
          </cell>
          <cell r="E249">
            <v>0</v>
          </cell>
        </row>
        <row r="250">
          <cell r="A250">
            <v>241</v>
          </cell>
          <cell r="B250" t="str">
            <v>19.23.03</v>
          </cell>
          <cell r="D250" t="str">
            <v xml:space="preserve"> D=  600 MM                                         </v>
          </cell>
          <cell r="E250" t="str">
            <v xml:space="preserve"> M    </v>
          </cell>
          <cell r="F250">
            <v>40</v>
          </cell>
          <cell r="G250">
            <v>534.96</v>
          </cell>
          <cell r="H250">
            <v>21398.400000000001</v>
          </cell>
        </row>
        <row r="251">
          <cell r="A251">
            <v>242</v>
          </cell>
          <cell r="B251" t="str">
            <v>19.23.09</v>
          </cell>
          <cell r="D251" t="str">
            <v xml:space="preserve"> D= 1200 MM                                         </v>
          </cell>
          <cell r="E251" t="str">
            <v xml:space="preserve"> M    </v>
          </cell>
          <cell r="F251">
            <v>16</v>
          </cell>
          <cell r="G251">
            <v>1060.3499999999999</v>
          </cell>
          <cell r="H251">
            <v>16965.599999999999</v>
          </cell>
        </row>
        <row r="252">
          <cell r="A252">
            <v>243</v>
          </cell>
          <cell r="B252" t="str">
            <v>19.25.00</v>
          </cell>
          <cell r="D252" t="str">
            <v xml:space="preserve"> DRENO - PADRÃO SUDECAP                             </v>
          </cell>
          <cell r="E252">
            <v>0</v>
          </cell>
        </row>
        <row r="253">
          <cell r="A253">
            <v>244</v>
          </cell>
          <cell r="B253" t="str">
            <v>19.25.02</v>
          </cell>
          <cell r="D253" t="str">
            <v xml:space="preserve"> TIPO B-MANTA DRENANTE, BRITA 3, TUBO POROSO,L=50CM </v>
          </cell>
          <cell r="E253" t="str">
            <v xml:space="preserve"> M    </v>
          </cell>
          <cell r="F253">
            <v>1340</v>
          </cell>
          <cell r="G253">
            <v>83.96</v>
          </cell>
          <cell r="H253">
            <v>112506.4</v>
          </cell>
        </row>
        <row r="254">
          <cell r="A254">
            <v>245</v>
          </cell>
          <cell r="B254" t="str">
            <v>19.27.00</v>
          </cell>
          <cell r="D254" t="str">
            <v xml:space="preserve"> BARRAGEM - PADRÃO SUDECAP                          </v>
          </cell>
          <cell r="E254">
            <v>0</v>
          </cell>
        </row>
        <row r="255">
          <cell r="A255">
            <v>246</v>
          </cell>
          <cell r="B255" t="str">
            <v>19.27.02</v>
          </cell>
          <cell r="D255" t="str">
            <v xml:space="preserve"> TIPO B - SACO RAFIA 50KG (SOLO/CIMENTO-50KG/M3)    </v>
          </cell>
          <cell r="E255" t="str">
            <v xml:space="preserve"> M3   </v>
          </cell>
          <cell r="F255">
            <v>1410</v>
          </cell>
          <cell r="G255">
            <v>131.21</v>
          </cell>
          <cell r="H255">
            <v>185006.1</v>
          </cell>
        </row>
        <row r="256">
          <cell r="A256">
            <v>247</v>
          </cell>
        </row>
        <row r="257">
          <cell r="A257">
            <v>248</v>
          </cell>
          <cell r="B257" t="str">
            <v>DIRETORIA</v>
          </cell>
          <cell r="C257" t="str">
            <v>UNIDADE</v>
          </cell>
          <cell r="D257" t="str">
            <v>ELABORADO</v>
          </cell>
          <cell r="E257" t="str">
            <v>VISTO</v>
          </cell>
          <cell r="F257" t="str">
            <v>TOTAL</v>
          </cell>
        </row>
        <row r="258">
          <cell r="A258">
            <v>249</v>
          </cell>
          <cell r="B258" t="str">
            <v>SP/DOF</v>
          </cell>
          <cell r="C258" t="str">
            <v>DOF/DPF</v>
          </cell>
          <cell r="G258" t="str">
            <v>ANTERIOR</v>
          </cell>
          <cell r="H258">
            <v>52088033.64859999</v>
          </cell>
        </row>
        <row r="259">
          <cell r="A259">
            <v>250</v>
          </cell>
          <cell r="B259" t="str">
            <v xml:space="preserve">ORÇAMENTO Nº </v>
          </cell>
          <cell r="C259" t="str">
            <v>DATA</v>
          </cell>
          <cell r="G259" t="str">
            <v>FOLHA</v>
          </cell>
          <cell r="H259">
            <v>851752.2219</v>
          </cell>
        </row>
        <row r="260">
          <cell r="A260">
            <v>251</v>
          </cell>
          <cell r="B260" t="str">
            <v>0077/13</v>
          </cell>
          <cell r="C260">
            <v>41494</v>
          </cell>
          <cell r="G260" t="str">
            <v>TOTAL</v>
          </cell>
          <cell r="H260">
            <v>52939785.870499991</v>
          </cell>
        </row>
        <row r="261">
          <cell r="A261">
            <v>252</v>
          </cell>
          <cell r="B261" t="str">
            <v>19.30.00</v>
          </cell>
          <cell r="D261" t="str">
            <v xml:space="preserve"> SARJETA - PADRÃO SUDECAP                           </v>
          </cell>
          <cell r="E261">
            <v>0</v>
          </cell>
        </row>
        <row r="262">
          <cell r="A262">
            <v>253</v>
          </cell>
          <cell r="B262" t="str">
            <v>19.30.05</v>
          </cell>
          <cell r="D262" t="str">
            <v xml:space="preserve"> TIPO B - (50X10)CM - DES-R01                       </v>
          </cell>
          <cell r="E262" t="str">
            <v xml:space="preserve"> M    </v>
          </cell>
          <cell r="F262">
            <v>2856</v>
          </cell>
          <cell r="G262">
            <v>21.71</v>
          </cell>
          <cell r="H262">
            <v>62003.76</v>
          </cell>
        </row>
        <row r="263">
          <cell r="A263">
            <v>254</v>
          </cell>
          <cell r="B263" t="str">
            <v>19.31.00</v>
          </cell>
          <cell r="D263" t="str">
            <v xml:space="preserve"> CANALETA - PADRÃO SUDECAP                          </v>
          </cell>
          <cell r="E263">
            <v>0</v>
          </cell>
        </row>
        <row r="264">
          <cell r="A264">
            <v>255</v>
          </cell>
          <cell r="B264" t="str">
            <v>19.31.01</v>
          </cell>
          <cell r="D264" t="str">
            <v xml:space="preserve"> TIPO 1 - TRAPEZOIDAL ABERTA DE CONCRETO 9,0 MPA    </v>
          </cell>
          <cell r="E264" t="str">
            <v xml:space="preserve"> M    </v>
          </cell>
          <cell r="F264">
            <v>920</v>
          </cell>
          <cell r="G264">
            <v>125.27</v>
          </cell>
          <cell r="H264">
            <v>115248.4</v>
          </cell>
        </row>
        <row r="265">
          <cell r="A265">
            <v>256</v>
          </cell>
          <cell r="B265" t="str">
            <v>19.32.00</v>
          </cell>
          <cell r="D265" t="str">
            <v xml:space="preserve"> ESCORAMENTO DESCONTINUO DE VALAS - PADRÃO SUDECAP     </v>
          </cell>
        </row>
        <row r="266">
          <cell r="A266">
            <v>257</v>
          </cell>
          <cell r="B266" t="str">
            <v>19.32.02</v>
          </cell>
          <cell r="D266" t="str">
            <v xml:space="preserve"> TIPO B - MADEIRA ROLIÇA D= 11 A 15 CM </v>
          </cell>
          <cell r="E266" t="str">
            <v xml:space="preserve"> M2   </v>
          </cell>
          <cell r="F266">
            <v>1092.54</v>
          </cell>
          <cell r="G266">
            <v>21.09</v>
          </cell>
          <cell r="H266">
            <v>23041.668600000001</v>
          </cell>
        </row>
        <row r="267">
          <cell r="A267">
            <v>258</v>
          </cell>
          <cell r="B267" t="str">
            <v>19.33.00</v>
          </cell>
          <cell r="D267" t="str">
            <v xml:space="preserve"> ESCORAMENTO CONTINUO DE VALAS - PADRÃO SUDECAP     </v>
          </cell>
          <cell r="E267">
            <v>0</v>
          </cell>
        </row>
        <row r="268">
          <cell r="A268">
            <v>259</v>
          </cell>
          <cell r="B268" t="str">
            <v>19.33.01</v>
          </cell>
          <cell r="D268" t="str">
            <v xml:space="preserve"> TIPO A - MADEIRA ROLIÇA D= 11 A 15 CM </v>
          </cell>
          <cell r="E268" t="str">
            <v xml:space="preserve"> M2   </v>
          </cell>
          <cell r="F268">
            <v>14750.16</v>
          </cell>
          <cell r="G268">
            <v>66.13</v>
          </cell>
          <cell r="H268">
            <v>975428.08079999988</v>
          </cell>
        </row>
        <row r="269">
          <cell r="A269">
            <v>260</v>
          </cell>
          <cell r="B269" t="str">
            <v>19.33.02</v>
          </cell>
          <cell r="D269" t="str">
            <v xml:space="preserve"> TIPO B - PERFIL I-8"                               </v>
          </cell>
          <cell r="E269" t="str">
            <v xml:space="preserve"> M2   </v>
          </cell>
          <cell r="F269">
            <v>4973.3999999999996</v>
          </cell>
          <cell r="G269">
            <v>106.68</v>
          </cell>
          <cell r="H269">
            <v>530562.31200000003</v>
          </cell>
        </row>
        <row r="270">
          <cell r="A270">
            <v>261</v>
          </cell>
          <cell r="B270" t="str">
            <v>19.52.00</v>
          </cell>
          <cell r="D270" t="str">
            <v xml:space="preserve"> POÇO DE VISITA EXCL. FORNEC. DO ANEL/TAMPÃO/LAJE   </v>
          </cell>
          <cell r="E270">
            <v>0</v>
          </cell>
        </row>
        <row r="271">
          <cell r="A271">
            <v>262</v>
          </cell>
          <cell r="B271" t="str">
            <v>19.52.03</v>
          </cell>
          <cell r="D271" t="str">
            <v xml:space="preserve"> PV H=1,0M (BALAO 0,60M) COPASA 062/1 NA 104 EM ANEIS       </v>
          </cell>
          <cell r="E271" t="str">
            <v xml:space="preserve"> UN   </v>
          </cell>
          <cell r="F271">
            <v>13</v>
          </cell>
          <cell r="G271">
            <v>220.04</v>
          </cell>
          <cell r="H271">
            <v>2860.52</v>
          </cell>
        </row>
        <row r="272">
          <cell r="A272">
            <v>263</v>
          </cell>
          <cell r="B272" t="str">
            <v>19.52.05</v>
          </cell>
          <cell r="D272" t="str">
            <v>ADICIONAL DE PREÇO P/ ACRESCIMO DE ALTURA PV 0,6M</v>
          </cell>
          <cell r="E272" t="str">
            <v>M</v>
          </cell>
          <cell r="F272">
            <v>9.41</v>
          </cell>
          <cell r="G272">
            <v>35.15</v>
          </cell>
          <cell r="H272">
            <v>330.76150000000001</v>
          </cell>
        </row>
        <row r="273">
          <cell r="A273">
            <v>264</v>
          </cell>
          <cell r="B273" t="str">
            <v>19.52.07</v>
          </cell>
          <cell r="D273" t="str">
            <v xml:space="preserve"> PV H=1,5M (BALAO 1,0M) COPASA 039/1  EM ANEIS       </v>
          </cell>
          <cell r="E273" t="str">
            <v xml:space="preserve">UN  </v>
          </cell>
          <cell r="F273">
            <v>34</v>
          </cell>
          <cell r="G273">
            <v>529.84</v>
          </cell>
          <cell r="H273">
            <v>18014.560000000001</v>
          </cell>
        </row>
        <row r="274">
          <cell r="A274">
            <v>265</v>
          </cell>
          <cell r="B274" t="str">
            <v>19.52.09</v>
          </cell>
          <cell r="D274" t="str">
            <v xml:space="preserve"> ADICIONAL DE PREÇO ACRESCIMO ALTURA PV 1,0M ANEL   </v>
          </cell>
          <cell r="E274" t="str">
            <v xml:space="preserve"> M    </v>
          </cell>
          <cell r="F274">
            <v>79.61</v>
          </cell>
          <cell r="G274">
            <v>34.979999999999997</v>
          </cell>
          <cell r="H274">
            <v>2784.7577999999999</v>
          </cell>
        </row>
        <row r="275">
          <cell r="A275">
            <v>266</v>
          </cell>
          <cell r="B275" t="str">
            <v>19.71.00</v>
          </cell>
          <cell r="D275" t="str">
            <v>caixa</v>
          </cell>
          <cell r="E275">
            <v>0</v>
          </cell>
        </row>
        <row r="276">
          <cell r="A276">
            <v>267</v>
          </cell>
          <cell r="B276" t="str">
            <v>19.71.01</v>
          </cell>
          <cell r="D276" t="str">
            <v xml:space="preserve"> TUBO DE FERRO FUNDIDO TK7 D = 1,0 M, COM JUNTA ELASTICA PARA ESGOTO                                             </v>
          </cell>
          <cell r="E276" t="str">
            <v xml:space="preserve"> M    </v>
          </cell>
          <cell r="F276">
            <v>180</v>
          </cell>
          <cell r="G276">
            <v>3187.12</v>
          </cell>
          <cell r="H276">
            <v>573681.6</v>
          </cell>
        </row>
        <row r="277">
          <cell r="A277">
            <v>268</v>
          </cell>
          <cell r="B277" t="str">
            <v>19.72.00</v>
          </cell>
          <cell r="D277" t="str">
            <v xml:space="preserve"> DESOBSTRUÇÃO DE REDES DE DRENAGEM</v>
          </cell>
        </row>
        <row r="278">
          <cell r="A278">
            <v>269</v>
          </cell>
          <cell r="B278" t="str">
            <v>19.72.01</v>
          </cell>
          <cell r="D278" t="str">
            <v xml:space="preserve"> DESOBSTRUÇÃO COM SISTEMA DE HIDROJATEAMENTO E SUCÇÃO ALTO VACUO (HORA PRODUTIVA)</v>
          </cell>
          <cell r="E278" t="str">
            <v>H</v>
          </cell>
          <cell r="F278">
            <v>300</v>
          </cell>
          <cell r="G278">
            <v>253</v>
          </cell>
          <cell r="H278">
            <v>75900</v>
          </cell>
        </row>
        <row r="279">
          <cell r="A279">
            <v>270</v>
          </cell>
          <cell r="B279" t="str">
            <v>19.80.00</v>
          </cell>
          <cell r="D279" t="str">
            <v xml:space="preserve"> TUBO CONC.SIMP JUNTA ELASTICA NBR 8890 CLASSE PS-1</v>
          </cell>
        </row>
        <row r="280">
          <cell r="A280">
            <v>271</v>
          </cell>
          <cell r="B280" t="str">
            <v>19.80.01</v>
          </cell>
          <cell r="D280" t="str">
            <v xml:space="preserve"> FORNECIMENTO E ASSENTAMENTO DE TUBO RIB LOC D=600MM</v>
          </cell>
          <cell r="E280" t="str">
            <v>M</v>
          </cell>
          <cell r="F280">
            <v>600</v>
          </cell>
          <cell r="G280">
            <v>205.03</v>
          </cell>
          <cell r="H280">
            <v>123018</v>
          </cell>
        </row>
        <row r="281">
          <cell r="A281">
            <v>272</v>
          </cell>
          <cell r="B281" t="str">
            <v>19.90.00</v>
          </cell>
          <cell r="D281" t="str">
            <v xml:space="preserve"> FORNECIMENTO, ASSENTAMENTO TUBOS CONEXOES PVC JE</v>
          </cell>
        </row>
        <row r="282">
          <cell r="A282">
            <v>273</v>
          </cell>
          <cell r="B282" t="str">
            <v>19.90.01</v>
          </cell>
          <cell r="D282" t="str">
            <v xml:space="preserve"> D=300MM</v>
          </cell>
          <cell r="E282" t="str">
            <v>M</v>
          </cell>
          <cell r="F282">
            <v>867</v>
          </cell>
          <cell r="G282">
            <v>100.87</v>
          </cell>
          <cell r="H282">
            <v>87454.290000000008</v>
          </cell>
        </row>
        <row r="283">
          <cell r="A283">
            <v>274</v>
          </cell>
          <cell r="B283" t="str">
            <v>19.90.02</v>
          </cell>
          <cell r="D283" t="str">
            <v xml:space="preserve"> D=400MM</v>
          </cell>
          <cell r="E283" t="str">
            <v>M</v>
          </cell>
          <cell r="F283">
            <v>1074</v>
          </cell>
          <cell r="G283">
            <v>156.75</v>
          </cell>
          <cell r="H283">
            <v>168349.5</v>
          </cell>
        </row>
        <row r="284">
          <cell r="A284">
            <v>275</v>
          </cell>
          <cell r="D284" t="str">
            <v>TOTAL DA ATIVIDADE  "19.00.00"</v>
          </cell>
          <cell r="H284">
            <v>3882455.906</v>
          </cell>
        </row>
        <row r="285">
          <cell r="A285">
            <v>276</v>
          </cell>
          <cell r="B285" t="str">
            <v>20.00.00</v>
          </cell>
          <cell r="D285" t="str">
            <v xml:space="preserve"> PAVIMENTAÇÃO                                       </v>
          </cell>
          <cell r="E285">
            <v>0</v>
          </cell>
        </row>
        <row r="286">
          <cell r="A286">
            <v>277</v>
          </cell>
          <cell r="B286" t="str">
            <v>20.01.00</v>
          </cell>
          <cell r="D286" t="str">
            <v xml:space="preserve"> REGULARIZAÇÃO </v>
          </cell>
        </row>
        <row r="287">
          <cell r="A287">
            <v>278</v>
          </cell>
          <cell r="B287" t="str">
            <v>20.01.01</v>
          </cell>
          <cell r="D287" t="str">
            <v xml:space="preserve"> REGULARIZAÇÃO E COMPACTAÇÃO DO SUBLEITO </v>
          </cell>
          <cell r="E287" t="str">
            <v xml:space="preserve"> M2   </v>
          </cell>
          <cell r="F287">
            <v>14025.5</v>
          </cell>
          <cell r="G287">
            <v>1.51</v>
          </cell>
          <cell r="H287">
            <v>21178.505000000001</v>
          </cell>
        </row>
        <row r="288">
          <cell r="A288">
            <v>279</v>
          </cell>
          <cell r="B288" t="str">
            <v>20.04.00</v>
          </cell>
          <cell r="D288" t="str">
            <v xml:space="preserve"> SUB-BASE ESTAB. GRANUL ENERGIA PROTOCOR INTERMED.</v>
          </cell>
        </row>
        <row r="289">
          <cell r="A289">
            <v>280</v>
          </cell>
          <cell r="B289" t="str">
            <v>20.04.01</v>
          </cell>
          <cell r="D289" t="str">
            <v xml:space="preserve"> COM CANGA DE MINÉRIO DE FERRO</v>
          </cell>
          <cell r="E289" t="str">
            <v>M3</v>
          </cell>
          <cell r="F289">
            <v>2784.5</v>
          </cell>
          <cell r="G289">
            <v>39.729999999999997</v>
          </cell>
          <cell r="H289">
            <v>110628.185</v>
          </cell>
        </row>
        <row r="290">
          <cell r="A290">
            <v>281</v>
          </cell>
          <cell r="B290" t="str">
            <v>20.06.00</v>
          </cell>
          <cell r="D290" t="str">
            <v xml:space="preserve"> BASE ESTAB. GRANUL.COMPACT.ENERG .PROTOCOR INTERMED.</v>
          </cell>
        </row>
        <row r="291">
          <cell r="A291">
            <v>282</v>
          </cell>
          <cell r="B291" t="str">
            <v>20.06.01</v>
          </cell>
          <cell r="D291" t="str">
            <v xml:space="preserve"> COM CANGA DE MINÉRIO DE FERRO</v>
          </cell>
          <cell r="E291" t="str">
            <v>M3</v>
          </cell>
          <cell r="F291">
            <v>2670.7</v>
          </cell>
          <cell r="G291">
            <v>44.19</v>
          </cell>
          <cell r="H291">
            <v>118018.23299999999</v>
          </cell>
        </row>
        <row r="292">
          <cell r="A292">
            <v>283</v>
          </cell>
          <cell r="B292" t="str">
            <v>20.09.00</v>
          </cell>
          <cell r="D292" t="str">
            <v xml:space="preserve"> BASE COMPACTADA C/ EQUIP. PLACA VIBRAT. OU SIMILAR</v>
          </cell>
        </row>
        <row r="293">
          <cell r="A293">
            <v>284</v>
          </cell>
          <cell r="B293" t="str">
            <v>20.09.01</v>
          </cell>
          <cell r="D293" t="str">
            <v xml:space="preserve"> DE CANGA DE MINÉRIO DE FERRO</v>
          </cell>
          <cell r="E293" t="str">
            <v>M3</v>
          </cell>
          <cell r="F293">
            <v>212.02</v>
          </cell>
          <cell r="G293">
            <v>59.25</v>
          </cell>
          <cell r="H293">
            <v>12562.185000000001</v>
          </cell>
        </row>
        <row r="294">
          <cell r="A294">
            <v>285</v>
          </cell>
          <cell r="B294" t="str">
            <v>20.10.00</v>
          </cell>
          <cell r="D294" t="str">
            <v xml:space="preserve"> TRANSPORTE DE MATERIAL DE QUALQUER NATUREZA        </v>
          </cell>
          <cell r="E294">
            <v>0</v>
          </cell>
        </row>
        <row r="295">
          <cell r="A295">
            <v>286</v>
          </cell>
          <cell r="B295" t="str">
            <v>20.10.03</v>
          </cell>
          <cell r="D295" t="str">
            <v xml:space="preserve"> DMT &gt; 10KM                                         </v>
          </cell>
          <cell r="E295" t="str">
            <v xml:space="preserve"> TxKM </v>
          </cell>
          <cell r="F295">
            <v>251259.45</v>
          </cell>
          <cell r="H295">
            <v>0</v>
          </cell>
        </row>
        <row r="296">
          <cell r="A296">
            <v>287</v>
          </cell>
          <cell r="B296" t="str">
            <v>20.11.00</v>
          </cell>
          <cell r="D296" t="str">
            <v xml:space="preserve"> IMPRIMAÇÃO                                         </v>
          </cell>
          <cell r="E296">
            <v>0</v>
          </cell>
        </row>
        <row r="297">
          <cell r="A297">
            <v>288</v>
          </cell>
          <cell r="B297" t="str">
            <v>20.11.01</v>
          </cell>
          <cell r="D297" t="str">
            <v xml:space="preserve"> IMPRIMAÇÃO COM CM-30                               </v>
          </cell>
          <cell r="E297" t="str">
            <v xml:space="preserve"> M2   </v>
          </cell>
          <cell r="F297">
            <v>15438.96</v>
          </cell>
          <cell r="G297">
            <v>4.1399999999999997</v>
          </cell>
          <cell r="H297">
            <v>63917.294399999992</v>
          </cell>
        </row>
        <row r="298">
          <cell r="A298">
            <v>289</v>
          </cell>
          <cell r="B298" t="str">
            <v>20.12.00</v>
          </cell>
          <cell r="D298" t="str">
            <v xml:space="preserve"> PINTURA                                            </v>
          </cell>
          <cell r="E298">
            <v>0</v>
          </cell>
        </row>
        <row r="299">
          <cell r="A299">
            <v>290</v>
          </cell>
        </row>
        <row r="300">
          <cell r="A300">
            <v>291</v>
          </cell>
          <cell r="B300" t="str">
            <v>DIRETORIA</v>
          </cell>
          <cell r="C300" t="str">
            <v>UNIDADE</v>
          </cell>
          <cell r="D300" t="str">
            <v>ELABORADO</v>
          </cell>
          <cell r="E300" t="str">
            <v>VISTO</v>
          </cell>
          <cell r="F300" t="str">
            <v>TOTAL</v>
          </cell>
        </row>
        <row r="301">
          <cell r="A301">
            <v>292</v>
          </cell>
          <cell r="B301" t="str">
            <v>SP/DOF</v>
          </cell>
          <cell r="C301" t="str">
            <v>DOF/DPF</v>
          </cell>
          <cell r="G301" t="str">
            <v>ANTERIOR</v>
          </cell>
          <cell r="H301">
            <v>52939785.870499991</v>
          </cell>
        </row>
        <row r="302">
          <cell r="A302">
            <v>293</v>
          </cell>
          <cell r="B302" t="str">
            <v xml:space="preserve">ORÇAMENTO Nº </v>
          </cell>
          <cell r="C302" t="str">
            <v>DATA</v>
          </cell>
          <cell r="G302" t="str">
            <v>FOLHA</v>
          </cell>
          <cell r="H302">
            <v>3084982.6130999997</v>
          </cell>
        </row>
        <row r="303">
          <cell r="A303">
            <v>294</v>
          </cell>
          <cell r="B303" t="str">
            <v>0077/13</v>
          </cell>
          <cell r="C303">
            <v>41494</v>
          </cell>
          <cell r="G303" t="str">
            <v>TOTAL</v>
          </cell>
          <cell r="H303">
            <v>56024768.483599991</v>
          </cell>
        </row>
        <row r="304">
          <cell r="A304">
            <v>295</v>
          </cell>
          <cell r="B304" t="str">
            <v>20.12.01</v>
          </cell>
          <cell r="D304" t="str">
            <v xml:space="preserve"> PINTURA DE LIGAÇÃO COM RR-1C                       </v>
          </cell>
          <cell r="E304" t="str">
            <v xml:space="preserve"> M2   </v>
          </cell>
          <cell r="F304">
            <v>12400.76</v>
          </cell>
          <cell r="G304">
            <v>1.1200000000000001</v>
          </cell>
          <cell r="H304">
            <v>13888.851200000001</v>
          </cell>
        </row>
        <row r="305">
          <cell r="A305">
            <v>296</v>
          </cell>
          <cell r="B305" t="str">
            <v>20.13.00</v>
          </cell>
          <cell r="D305" t="str">
            <v xml:space="preserve"> CONCRETO BETUMINOSO USINADO A QUENTE               </v>
          </cell>
          <cell r="E305">
            <v>0</v>
          </cell>
        </row>
        <row r="306">
          <cell r="A306">
            <v>297</v>
          </cell>
          <cell r="B306" t="str">
            <v>20.13.05</v>
          </cell>
          <cell r="D306" t="str">
            <v xml:space="preserve"> FAIXA C COM CAP 50/70                              </v>
          </cell>
          <cell r="E306" t="str">
            <v xml:space="preserve"> T    </v>
          </cell>
          <cell r="F306">
            <v>1318.48</v>
          </cell>
          <cell r="G306">
            <v>212</v>
          </cell>
          <cell r="H306">
            <v>279517.76</v>
          </cell>
        </row>
        <row r="307">
          <cell r="A307">
            <v>298</v>
          </cell>
          <cell r="B307" t="str">
            <v>20.13.07</v>
          </cell>
          <cell r="D307" t="str">
            <v xml:space="preserve"> FAIXA C  CAP 50/70 ESP. MANUAL COMPACT. PLACA VIBRAT.</v>
          </cell>
          <cell r="E307" t="str">
            <v>T</v>
          </cell>
          <cell r="F307">
            <v>169.62</v>
          </cell>
          <cell r="G307">
            <v>299.11</v>
          </cell>
          <cell r="H307">
            <v>50735.038200000003</v>
          </cell>
        </row>
        <row r="308">
          <cell r="A308">
            <v>299</v>
          </cell>
          <cell r="B308" t="str">
            <v>20.20.00</v>
          </cell>
          <cell r="D308" t="str">
            <v xml:space="preserve"> REVESTIMENTO EM BLOCOS DE CONCRETO INTERTRAVADO</v>
          </cell>
        </row>
        <row r="309">
          <cell r="A309">
            <v>300</v>
          </cell>
          <cell r="B309" t="str">
            <v>20.20.05</v>
          </cell>
          <cell r="D309" t="str">
            <v xml:space="preserve"> BLOCOS DE CONCRETO INTERTRAVADO 8CM DE ESPESSURA INCLUINDO COLCHAO DE AREIA</v>
          </cell>
          <cell r="E309" t="str">
            <v>M2</v>
          </cell>
          <cell r="F309">
            <v>8202.43</v>
          </cell>
          <cell r="G309">
            <v>73.77</v>
          </cell>
          <cell r="H309">
            <v>605093.2611</v>
          </cell>
        </row>
        <row r="310">
          <cell r="A310">
            <v>301</v>
          </cell>
          <cell r="D310" t="str">
            <v>TOTAL DA ATIVIDADE  "20.00.00"</v>
          </cell>
          <cell r="H310">
            <v>1275539.3129</v>
          </cell>
        </row>
        <row r="311">
          <cell r="A311">
            <v>302</v>
          </cell>
          <cell r="B311" t="str">
            <v>21.00.00</v>
          </cell>
          <cell r="D311" t="str">
            <v xml:space="preserve"> URBANIZAÇÃO E OBRAS COMPLEMENTARES                 </v>
          </cell>
          <cell r="E311">
            <v>0</v>
          </cell>
        </row>
        <row r="312">
          <cell r="A312">
            <v>303</v>
          </cell>
          <cell r="B312" t="str">
            <v>21.03.00</v>
          </cell>
          <cell r="D312" t="str">
            <v xml:space="preserve"> MEIO FIO E CORDAO - PADRÃO SUDECAP                 </v>
          </cell>
          <cell r="E312">
            <v>0</v>
          </cell>
        </row>
        <row r="313">
          <cell r="A313">
            <v>304</v>
          </cell>
          <cell r="B313" t="str">
            <v>21.03.03</v>
          </cell>
          <cell r="D313" t="str">
            <v xml:space="preserve"> MEIO FIO CONCRETO FCK&gt;=18 MPA TIPO A (12X16,7X35) CM</v>
          </cell>
          <cell r="E313" t="str">
            <v>M</v>
          </cell>
          <cell r="F313">
            <v>2856</v>
          </cell>
          <cell r="G313">
            <v>30.99</v>
          </cell>
          <cell r="H313">
            <v>88507.44</v>
          </cell>
        </row>
        <row r="314">
          <cell r="A314">
            <v>305</v>
          </cell>
          <cell r="B314" t="str">
            <v>21.03.16</v>
          </cell>
          <cell r="D314" t="str">
            <v xml:space="preserve"> CORDAO DE CONC. PREMOLDADO BOLEADO 10X10 COM BASE</v>
          </cell>
          <cell r="E314" t="str">
            <v>M</v>
          </cell>
          <cell r="F314">
            <v>947.81</v>
          </cell>
          <cell r="G314">
            <v>28.16</v>
          </cell>
          <cell r="H314">
            <v>26690.329599999997</v>
          </cell>
        </row>
        <row r="315">
          <cell r="A315">
            <v>306</v>
          </cell>
          <cell r="B315" t="str">
            <v>21.05.00</v>
          </cell>
          <cell r="D315" t="str">
            <v xml:space="preserve"> PASSEIOS</v>
          </cell>
        </row>
        <row r="316">
          <cell r="A316">
            <v>307</v>
          </cell>
          <cell r="B316" t="str">
            <v>21.05.01</v>
          </cell>
          <cell r="D316" t="str">
            <v xml:space="preserve"> DE CONCRETO 15 MPA E=6CM JUNTA SECA 3M MANUAL</v>
          </cell>
          <cell r="E316" t="str">
            <v>M2</v>
          </cell>
          <cell r="F316">
            <v>6768.08</v>
          </cell>
          <cell r="G316">
            <v>31.59</v>
          </cell>
          <cell r="H316">
            <v>213803.64720000001</v>
          </cell>
        </row>
        <row r="317">
          <cell r="A317">
            <v>308</v>
          </cell>
          <cell r="B317" t="str">
            <v>21.05.03</v>
          </cell>
          <cell r="D317" t="str">
            <v xml:space="preserve"> CONCRETO &gt;=20MPA USINADO E=8CM MECANIZ.(INCL.TELA)</v>
          </cell>
          <cell r="E317" t="str">
            <v>M2</v>
          </cell>
          <cell r="F317">
            <v>1086.3499999999999</v>
          </cell>
          <cell r="G317">
            <v>45.24</v>
          </cell>
          <cell r="H317">
            <v>49146.473999999995</v>
          </cell>
        </row>
        <row r="318">
          <cell r="A318">
            <v>309</v>
          </cell>
          <cell r="B318" t="str">
            <v>21.09.00</v>
          </cell>
          <cell r="D318" t="str">
            <v xml:space="preserve"> QUADRA</v>
          </cell>
        </row>
        <row r="319">
          <cell r="A319">
            <v>310</v>
          </cell>
          <cell r="B319" t="str">
            <v>21.09.02</v>
          </cell>
          <cell r="D319" t="str">
            <v xml:space="preserve"> CONCRETO &gt;=20MPA USINADO E=8CM MECANIZ.(INCL.TELA)</v>
          </cell>
          <cell r="E319" t="str">
            <v>M2</v>
          </cell>
          <cell r="F319">
            <v>1460</v>
          </cell>
          <cell r="G319">
            <v>45.24</v>
          </cell>
          <cell r="H319">
            <v>66050.400000000009</v>
          </cell>
        </row>
        <row r="320">
          <cell r="A320">
            <v>311</v>
          </cell>
          <cell r="B320" t="str">
            <v>21.09.03</v>
          </cell>
          <cell r="D320" t="str">
            <v xml:space="preserve"> BASE EM COLCHAO DE BRITA ESP. 5CM P/ PISO DE QUADRA</v>
          </cell>
          <cell r="E320" t="str">
            <v>M2</v>
          </cell>
          <cell r="F320">
            <v>1460</v>
          </cell>
          <cell r="G320">
            <v>5.73</v>
          </cell>
          <cell r="H320">
            <v>8365.8000000000011</v>
          </cell>
        </row>
        <row r="321">
          <cell r="A321">
            <v>312</v>
          </cell>
          <cell r="B321" t="str">
            <v>21.15.00</v>
          </cell>
          <cell r="D321" t="str">
            <v xml:space="preserve"> CERCA DE MOURAO A CADA 2,5M</v>
          </cell>
        </row>
        <row r="322">
          <cell r="A322">
            <v>313</v>
          </cell>
          <cell r="B322" t="str">
            <v>21.15.02</v>
          </cell>
          <cell r="D322" t="str">
            <v xml:space="preserve"> TIPO 2- MOURAO DE CONCRETO E 8 FIOS DE ARAME</v>
          </cell>
          <cell r="E322" t="str">
            <v>M</v>
          </cell>
          <cell r="F322">
            <v>2135.4</v>
          </cell>
          <cell r="G322">
            <v>29.86</v>
          </cell>
          <cell r="H322">
            <v>63763.044000000002</v>
          </cell>
        </row>
        <row r="323">
          <cell r="A323">
            <v>314</v>
          </cell>
          <cell r="B323" t="str">
            <v>21.15.08</v>
          </cell>
          <cell r="D323" t="str">
            <v xml:space="preserve"> CERCA METALICA BELGO NYLOFOR 3D OU SIMILAR,H=1M</v>
          </cell>
          <cell r="E323" t="str">
            <v>M</v>
          </cell>
          <cell r="F323">
            <v>860</v>
          </cell>
          <cell r="G323">
            <v>191.81</v>
          </cell>
          <cell r="H323">
            <v>164956.6</v>
          </cell>
        </row>
        <row r="324">
          <cell r="A324">
            <v>315</v>
          </cell>
          <cell r="B324" t="str">
            <v>21.15.09</v>
          </cell>
          <cell r="D324" t="str">
            <v xml:space="preserve"> CERCA METALICA BELGO NYLOFOR 3D OU SIMILAR,H=2M</v>
          </cell>
          <cell r="E324" t="str">
            <v>M</v>
          </cell>
          <cell r="F324">
            <v>2514.1999999999998</v>
          </cell>
          <cell r="G324">
            <v>305.68</v>
          </cell>
          <cell r="H324">
            <v>768540.65599999996</v>
          </cell>
        </row>
        <row r="325">
          <cell r="A325">
            <v>316</v>
          </cell>
          <cell r="B325" t="str">
            <v>21.20.00</v>
          </cell>
          <cell r="D325" t="str">
            <v>ALAMBRADO</v>
          </cell>
        </row>
        <row r="326">
          <cell r="A326">
            <v>317</v>
          </cell>
          <cell r="B326" t="str">
            <v>21.20.01</v>
          </cell>
          <cell r="D326" t="str">
            <v xml:space="preserve"> EM TUBO GALVANIZ. DIN-2440 D=2'', TELA 2'' E FIO 12</v>
          </cell>
          <cell r="E326" t="str">
            <v>M2</v>
          </cell>
          <cell r="F326">
            <v>640</v>
          </cell>
          <cell r="G326">
            <v>114.97</v>
          </cell>
          <cell r="H326">
            <v>73580.800000000003</v>
          </cell>
        </row>
        <row r="327">
          <cell r="A327">
            <v>318</v>
          </cell>
          <cell r="B327" t="str">
            <v>21.29.00</v>
          </cell>
          <cell r="D327" t="str">
            <v xml:space="preserve"> GUARDA RODAS - PADRÃO SUDECAP</v>
          </cell>
        </row>
        <row r="328">
          <cell r="A328">
            <v>319</v>
          </cell>
          <cell r="B328" t="str">
            <v>21.29.01</v>
          </cell>
          <cell r="D328" t="str">
            <v xml:space="preserve"> SIMPLES</v>
          </cell>
          <cell r="E328" t="str">
            <v>M</v>
          </cell>
          <cell r="F328">
            <v>570.17999999999995</v>
          </cell>
          <cell r="G328">
            <v>585.27</v>
          </cell>
          <cell r="H328">
            <v>333709.24859999993</v>
          </cell>
        </row>
        <row r="329">
          <cell r="A329">
            <v>320</v>
          </cell>
          <cell r="B329" t="str">
            <v>21.30.00</v>
          </cell>
          <cell r="D329" t="str">
            <v xml:space="preserve"> GRAMACAO E AJARDINAMENTO                           </v>
          </cell>
          <cell r="E329">
            <v>0</v>
          </cell>
        </row>
        <row r="330">
          <cell r="A330">
            <v>321</v>
          </cell>
          <cell r="B330" t="str">
            <v>21.30.07</v>
          </cell>
          <cell r="D330" t="str">
            <v xml:space="preserve"> GRAMA ESMERALDA - WILD ZOYSIA                      </v>
          </cell>
          <cell r="E330" t="str">
            <v xml:space="preserve"> M2   </v>
          </cell>
          <cell r="F330">
            <v>64004.86</v>
          </cell>
          <cell r="G330">
            <v>10.8</v>
          </cell>
          <cell r="H330">
            <v>691252.48800000001</v>
          </cell>
        </row>
        <row r="331">
          <cell r="A331">
            <v>322</v>
          </cell>
          <cell r="B331" t="str">
            <v>21.32.00</v>
          </cell>
          <cell r="D331" t="str">
            <v xml:space="preserve"> FORNECIMENTO DE MATERIAL PARA PAISAGISMO:          </v>
          </cell>
          <cell r="E331">
            <v>0</v>
          </cell>
        </row>
        <row r="332">
          <cell r="A332">
            <v>323</v>
          </cell>
          <cell r="B332" t="str">
            <v>21.32.01</v>
          </cell>
          <cell r="D332" t="str">
            <v xml:space="preserve"> TERRA VEGETAL                                      </v>
          </cell>
          <cell r="E332" t="str">
            <v xml:space="preserve"> M3   </v>
          </cell>
          <cell r="F332">
            <v>12800.97</v>
          </cell>
          <cell r="G332">
            <v>63.54</v>
          </cell>
          <cell r="H332">
            <v>813373.63379999995</v>
          </cell>
        </row>
        <row r="333">
          <cell r="A333">
            <v>324</v>
          </cell>
          <cell r="B333" t="str">
            <v>21.32.02</v>
          </cell>
          <cell r="D333" t="str">
            <v xml:space="preserve"> ADUBO ORGANICO                                     </v>
          </cell>
          <cell r="E333" t="str">
            <v xml:space="preserve"> M3   </v>
          </cell>
          <cell r="F333">
            <v>1280.0999999999999</v>
          </cell>
          <cell r="G333">
            <v>116.72</v>
          </cell>
          <cell r="H333">
            <v>149413.272</v>
          </cell>
        </row>
        <row r="334">
          <cell r="A334">
            <v>325</v>
          </cell>
          <cell r="B334" t="str">
            <v>21.32.03</v>
          </cell>
          <cell r="D334" t="str">
            <v xml:space="preserve"> ADUBO MINERAL 10-10-10                             </v>
          </cell>
          <cell r="E334" t="str">
            <v xml:space="preserve"> KG   </v>
          </cell>
          <cell r="F334">
            <v>12816.77</v>
          </cell>
          <cell r="G334">
            <v>1.66</v>
          </cell>
          <cell r="H334">
            <v>21275.838199999998</v>
          </cell>
        </row>
        <row r="335">
          <cell r="A335">
            <v>326</v>
          </cell>
          <cell r="B335" t="str">
            <v>21.33.00</v>
          </cell>
          <cell r="D335" t="str">
            <v xml:space="preserve"> FORNECIMENTO DE MUDAS                              </v>
          </cell>
          <cell r="E335">
            <v>0</v>
          </cell>
        </row>
        <row r="336">
          <cell r="A336">
            <v>327</v>
          </cell>
          <cell r="B336" t="str">
            <v>21.33.02</v>
          </cell>
          <cell r="D336" t="str">
            <v xml:space="preserve"> ÁRVORE - IPE ROSA - TABEBUIA AVELLANEDAE           </v>
          </cell>
          <cell r="E336" t="str">
            <v xml:space="preserve"> UN   </v>
          </cell>
          <cell r="F336">
            <v>36</v>
          </cell>
          <cell r="G336">
            <v>45.75</v>
          </cell>
          <cell r="H336">
            <v>1647</v>
          </cell>
        </row>
        <row r="337">
          <cell r="A337">
            <v>328</v>
          </cell>
          <cell r="B337" t="str">
            <v>21.33.50</v>
          </cell>
          <cell r="D337" t="str">
            <v xml:space="preserve"> ÁRVORE - BELA EMÍLIA - PLUMBAGO CAPENSIS</v>
          </cell>
          <cell r="E337" t="str">
            <v xml:space="preserve"> UN   </v>
          </cell>
          <cell r="F337">
            <v>49</v>
          </cell>
          <cell r="G337">
            <v>3.05</v>
          </cell>
          <cell r="H337">
            <v>149.44999999999999</v>
          </cell>
        </row>
        <row r="338">
          <cell r="A338">
            <v>329</v>
          </cell>
          <cell r="B338" t="str">
            <v>21.34.00</v>
          </cell>
          <cell r="D338" t="str">
            <v xml:space="preserve"> CERCA DE PROTEÇÃO PARA ÁRVORES                     </v>
          </cell>
          <cell r="E338">
            <v>0</v>
          </cell>
        </row>
        <row r="339">
          <cell r="A339">
            <v>330</v>
          </cell>
          <cell r="B339" t="str">
            <v>21.34.01</v>
          </cell>
          <cell r="D339" t="str">
            <v xml:space="preserve"> CERCA DE PROTEÇÃO P/ ÁRVORES CONF.PROJETO PPA-257  </v>
          </cell>
          <cell r="E339" t="str">
            <v xml:space="preserve"> UN   </v>
          </cell>
          <cell r="F339">
            <v>79</v>
          </cell>
          <cell r="G339">
            <v>59.49</v>
          </cell>
          <cell r="H339">
            <v>4699.71</v>
          </cell>
        </row>
        <row r="340">
          <cell r="A340">
            <v>331</v>
          </cell>
          <cell r="B340" t="str">
            <v>21.40.00</v>
          </cell>
          <cell r="D340" t="str">
            <v xml:space="preserve"> LIXEIRA </v>
          </cell>
        </row>
        <row r="341">
          <cell r="A341">
            <v>332</v>
          </cell>
          <cell r="B341" t="str">
            <v>21.40.02</v>
          </cell>
          <cell r="D341" t="str">
            <v xml:space="preserve"> TIPO 2- METALICA INDIVIDUAL BASCULAVEL CHAPA 20 35L</v>
          </cell>
          <cell r="E341" t="str">
            <v xml:space="preserve">UN  </v>
          </cell>
          <cell r="F341">
            <v>25</v>
          </cell>
          <cell r="G341">
            <v>233.53</v>
          </cell>
          <cell r="H341">
            <v>5838.25</v>
          </cell>
        </row>
        <row r="342">
          <cell r="A342">
            <v>333</v>
          </cell>
        </row>
        <row r="343">
          <cell r="A343">
            <v>334</v>
          </cell>
          <cell r="B343" t="str">
            <v>DIRETORIA</v>
          </cell>
          <cell r="C343" t="str">
            <v>UNIDADE</v>
          </cell>
          <cell r="D343" t="str">
            <v>ELABORADO</v>
          </cell>
          <cell r="E343" t="str">
            <v>VISTO</v>
          </cell>
          <cell r="F343" t="str">
            <v>TOTAL</v>
          </cell>
        </row>
        <row r="344">
          <cell r="A344">
            <v>335</v>
          </cell>
          <cell r="B344" t="str">
            <v>SP/DOF</v>
          </cell>
          <cell r="C344" t="str">
            <v>DOF/DPF</v>
          </cell>
          <cell r="G344" t="str">
            <v>ANTERIOR</v>
          </cell>
          <cell r="H344">
            <v>56024768.483599991</v>
          </cell>
        </row>
        <row r="345">
          <cell r="A345">
            <v>336</v>
          </cell>
          <cell r="B345" t="str">
            <v xml:space="preserve">ORÇAMENTO Nº </v>
          </cell>
          <cell r="C345" t="str">
            <v>DATA</v>
          </cell>
          <cell r="G345" t="str">
            <v>FOLHA</v>
          </cell>
          <cell r="H345">
            <v>4493998.9918999998</v>
          </cell>
        </row>
        <row r="346">
          <cell r="A346">
            <v>337</v>
          </cell>
          <cell r="B346" t="str">
            <v>0077/13</v>
          </cell>
          <cell r="C346">
            <v>41494</v>
          </cell>
          <cell r="G346" t="str">
            <v>TOTAL</v>
          </cell>
          <cell r="H346">
            <v>60518767.475499988</v>
          </cell>
        </row>
        <row r="347">
          <cell r="A347">
            <v>338</v>
          </cell>
          <cell r="D347" t="str">
            <v>TOTAL DA ATIVIDADE  "21.00.00"</v>
          </cell>
          <cell r="H347">
            <v>3544764.0814</v>
          </cell>
        </row>
        <row r="348">
          <cell r="A348">
            <v>339</v>
          </cell>
          <cell r="B348" t="str">
            <v>30.00.00</v>
          </cell>
          <cell r="D348" t="str">
            <v>CONCRETO PROJETADO - SERVIÇOS DE PROJEÇÃO</v>
          </cell>
        </row>
        <row r="349">
          <cell r="A349">
            <v>340</v>
          </cell>
          <cell r="B349" t="str">
            <v>30.01.00</v>
          </cell>
          <cell r="D349" t="str">
            <v xml:space="preserve"> CONCRETO</v>
          </cell>
        </row>
        <row r="350">
          <cell r="A350">
            <v>341</v>
          </cell>
          <cell r="B350" t="str">
            <v>30.01.01</v>
          </cell>
          <cell r="D350" t="str">
            <v xml:space="preserve"> PREPARO, CARGA, DESCARGA, TRANSPORTE E LANÇAMENTO DO CONCRETO PROJETADO PADRÃO FCK &gt;= 30.0 MPA (CPP INCLUSIVE FORNECIMENTO DO CIMENTO) </v>
          </cell>
          <cell r="E350" t="str">
            <v xml:space="preserve"> M3 </v>
          </cell>
          <cell r="F350">
            <v>933</v>
          </cell>
          <cell r="G350">
            <v>1201.95</v>
          </cell>
          <cell r="H350">
            <v>1121419.3500000001</v>
          </cell>
        </row>
        <row r="351">
          <cell r="A351">
            <v>342</v>
          </cell>
          <cell r="B351" t="str">
            <v>30.01.02</v>
          </cell>
          <cell r="D351" t="str">
            <v xml:space="preserve"> TELA METÁLICA Q 138 OU SIMILAR </v>
          </cell>
          <cell r="E351" t="str">
            <v xml:space="preserve"> M2   </v>
          </cell>
          <cell r="F351">
            <v>9329.4</v>
          </cell>
          <cell r="G351">
            <v>13.84</v>
          </cell>
          <cell r="H351">
            <v>129118.89599999999</v>
          </cell>
        </row>
        <row r="352">
          <cell r="A352">
            <v>343</v>
          </cell>
          <cell r="B352" t="str">
            <v>30.01.03</v>
          </cell>
          <cell r="D352" t="str">
            <v xml:space="preserve"> PREPARO MANUAL DE SUPERFÍCIE DE TALUDE EM SOLO PARA APLICAÇÃO DE CONCRETO PROJETADO </v>
          </cell>
          <cell r="E352" t="str">
            <v xml:space="preserve"> M2   </v>
          </cell>
          <cell r="F352">
            <v>9329.4</v>
          </cell>
          <cell r="G352">
            <v>7.16</v>
          </cell>
          <cell r="H352">
            <v>66798.504000000001</v>
          </cell>
        </row>
        <row r="353">
          <cell r="A353">
            <v>344</v>
          </cell>
          <cell r="B353" t="str">
            <v>30.01.04</v>
          </cell>
          <cell r="D353" t="str">
            <v xml:space="preserve"> DRENO BARBACAN COM TUBO PVC 50 MM PERFURADO, L= 35 CM EM TALUDE EM MATERIAL DE QUALQUER CATEGORIA </v>
          </cell>
          <cell r="E353" t="str">
            <v xml:space="preserve"> UN   </v>
          </cell>
          <cell r="F353">
            <v>2332</v>
          </cell>
          <cell r="G353">
            <v>4.91</v>
          </cell>
          <cell r="H353">
            <v>11450.12</v>
          </cell>
        </row>
        <row r="354">
          <cell r="A354">
            <v>345</v>
          </cell>
          <cell r="B354" t="str">
            <v>30.01.05</v>
          </cell>
          <cell r="D354" t="str">
            <v xml:space="preserve"> PERFURAÇÃO DE SOLO PARA ANCORAGEM PASSIVA - AÇO CA-50, D=  1" (933 FUROS, C=2,50 , D=3"), FORMANDO MALHA NO TALUDE DE 2,0X2,0M (PARA FIXAÇÃO DE TELA METÁLICA NO TALUDE)</v>
          </cell>
          <cell r="E354" t="str">
            <v xml:space="preserve"> M </v>
          </cell>
          <cell r="F354">
            <v>2332</v>
          </cell>
          <cell r="G354">
            <v>99.38</v>
          </cell>
          <cell r="H354">
            <v>231754.16</v>
          </cell>
        </row>
        <row r="355">
          <cell r="A355">
            <v>346</v>
          </cell>
          <cell r="B355" t="str">
            <v>30.01.06</v>
          </cell>
          <cell r="D355" t="str">
            <v xml:space="preserve"> INJEÇÃO DE CALDA DE CIMENTO TRAÇO 1:2 (EM PESO)</v>
          </cell>
          <cell r="E355" t="str">
            <v>SC</v>
          </cell>
          <cell r="F355">
            <v>263</v>
          </cell>
          <cell r="G355">
            <v>65.489999999999995</v>
          </cell>
          <cell r="H355">
            <v>17223.87</v>
          </cell>
        </row>
        <row r="356">
          <cell r="A356">
            <v>347</v>
          </cell>
          <cell r="B356" t="str">
            <v>30.01.07</v>
          </cell>
          <cell r="D356" t="str">
            <v xml:space="preserve"> MOBILIZAÇÃO E DESMOBILIZAÇÃO DE EQUIPAMENTO PARA PERFURAÇÃO</v>
          </cell>
          <cell r="E356" t="str">
            <v>VB</v>
          </cell>
          <cell r="F356">
            <v>1</v>
          </cell>
          <cell r="G356">
            <v>10166.959999999999</v>
          </cell>
          <cell r="H356">
            <v>10166.959999999999</v>
          </cell>
        </row>
        <row r="357">
          <cell r="A357">
            <v>348</v>
          </cell>
          <cell r="B357" t="str">
            <v>30.01.08</v>
          </cell>
          <cell r="D357" t="str">
            <v xml:space="preserve"> MOBILIZAÇÃO E DESMOBILIZAÇÃO DE EQUIPAMENTO PARA PROJEÇÃO DE CONCRETO</v>
          </cell>
          <cell r="E357" t="str">
            <v>VB</v>
          </cell>
          <cell r="F357">
            <v>1</v>
          </cell>
          <cell r="G357">
            <v>7338.57</v>
          </cell>
          <cell r="H357">
            <v>7338.57</v>
          </cell>
        </row>
        <row r="358">
          <cell r="A358">
            <v>349</v>
          </cell>
          <cell r="B358" t="str">
            <v>30.02.00</v>
          </cell>
          <cell r="D358" t="str">
            <v xml:space="preserve"> CORTINA DE INJEÇÃO</v>
          </cell>
        </row>
        <row r="359">
          <cell r="A359">
            <v>350</v>
          </cell>
          <cell r="B359" t="str">
            <v>30.02.02</v>
          </cell>
          <cell r="D359" t="str">
            <v xml:space="preserve"> PERFURACAO EM SOLO D = 75 MM  COMPRIMENTO 9M, ALINHADOS A CADA 3M (183 FUROS VERTICAIS DE 9M)                    </v>
          </cell>
          <cell r="E359" t="str">
            <v xml:space="preserve"> M </v>
          </cell>
          <cell r="F359">
            <v>1645</v>
          </cell>
          <cell r="G359">
            <v>99.38</v>
          </cell>
          <cell r="H359">
            <v>163480.1</v>
          </cell>
        </row>
        <row r="360">
          <cell r="A360">
            <v>351</v>
          </cell>
          <cell r="B360" t="str">
            <v>30.02.03</v>
          </cell>
          <cell r="D360" t="str">
            <v xml:space="preserve"> INJEÇÃO DE CALDA DE CIMENTO TRAÇO 1:1 (EM PESO) SOB PRESSAO 0,50KG/CM², EXCLUSIVE FORNECIMENTO DE CIMENTO, COMPREENDENDO LAVAGEM DE TODO O FURO E EXECUÇÃO DE INJEÇÃO EM ESTAGIOS CONFORME PROJETO</v>
          </cell>
          <cell r="E360" t="str">
            <v>SC</v>
          </cell>
          <cell r="F360">
            <v>1850.63</v>
          </cell>
          <cell r="G360">
            <v>65.489999999999995</v>
          </cell>
          <cell r="H360">
            <v>121197.75869999999</v>
          </cell>
        </row>
        <row r="361">
          <cell r="A361">
            <v>352</v>
          </cell>
          <cell r="B361" t="str">
            <v>30.02.04</v>
          </cell>
          <cell r="D361" t="str">
            <v xml:space="preserve"> ENSAIO DE PERDA D' ÁGUA </v>
          </cell>
          <cell r="E361" t="str">
            <v xml:space="preserve"> UN   </v>
          </cell>
          <cell r="F361">
            <v>70</v>
          </cell>
          <cell r="G361">
            <v>288.82</v>
          </cell>
          <cell r="H361">
            <v>20217.399999999998</v>
          </cell>
        </row>
        <row r="362">
          <cell r="A362">
            <v>353</v>
          </cell>
          <cell r="B362" t="str">
            <v>30.03.00</v>
          </cell>
          <cell r="D362" t="str">
            <v xml:space="preserve">  INSTRUMENTAÇÃO </v>
          </cell>
        </row>
        <row r="363">
          <cell r="A363">
            <v>354</v>
          </cell>
          <cell r="B363" t="str">
            <v>30.03.01</v>
          </cell>
          <cell r="D363" t="str">
            <v xml:space="preserve"> CONFECÇÃO, MONTAGEM E INSTALAÇÃO DE  PIEZÔMETROS </v>
          </cell>
          <cell r="E363" t="str">
            <v xml:space="preserve"> UN   </v>
          </cell>
          <cell r="F363">
            <v>12</v>
          </cell>
          <cell r="G363">
            <v>11395.3</v>
          </cell>
          <cell r="H363">
            <v>136743.59999999998</v>
          </cell>
        </row>
        <row r="364">
          <cell r="A364">
            <v>355</v>
          </cell>
          <cell r="B364" t="str">
            <v>30.03.02</v>
          </cell>
          <cell r="D364" t="str">
            <v xml:space="preserve"> CONFECÇÃO, MONTAGEM E INSTALAÇÃO DE  MARCO DE DESLOCAMENTO</v>
          </cell>
          <cell r="E364" t="str">
            <v xml:space="preserve"> UN   </v>
          </cell>
          <cell r="F364">
            <v>4</v>
          </cell>
          <cell r="G364">
            <v>4891.96</v>
          </cell>
          <cell r="H364">
            <v>19567.84</v>
          </cell>
        </row>
        <row r="365">
          <cell r="A365">
            <v>356</v>
          </cell>
          <cell r="B365" t="str">
            <v>30.07.00</v>
          </cell>
          <cell r="D365" t="str">
            <v xml:space="preserve"> SONDAGEM ROTATIVA EM SOLO FH COM ENSAIO SPT A CADA METRO</v>
          </cell>
        </row>
        <row r="366">
          <cell r="A366">
            <v>357</v>
          </cell>
          <cell r="B366" t="str">
            <v>30.07.01</v>
          </cell>
          <cell r="D366" t="str">
            <v xml:space="preserve"> SONDAGEM ROTATIVA EM SOLO FH=100 MM COM ENSAIO SPT A CADA METRO </v>
          </cell>
          <cell r="E366" t="str">
            <v xml:space="preserve"> M </v>
          </cell>
          <cell r="F366">
            <v>421</v>
          </cell>
          <cell r="G366">
            <v>173.52</v>
          </cell>
          <cell r="H366">
            <v>73051.92</v>
          </cell>
        </row>
        <row r="367">
          <cell r="A367">
            <v>358</v>
          </cell>
          <cell r="B367" t="str">
            <v>30.07.02</v>
          </cell>
          <cell r="D367" t="str">
            <v xml:space="preserve"> MOBILIZAÇÃO E DESMOB. DE EQUIP. PARA SONDAGEM </v>
          </cell>
          <cell r="E367" t="str">
            <v xml:space="preserve"> VB   </v>
          </cell>
          <cell r="F367">
            <v>1</v>
          </cell>
          <cell r="G367">
            <v>4042.94</v>
          </cell>
          <cell r="H367">
            <v>4042.94</v>
          </cell>
        </row>
        <row r="368">
          <cell r="A368">
            <v>359</v>
          </cell>
          <cell r="B368" t="str">
            <v>30.07.03</v>
          </cell>
          <cell r="D368" t="str">
            <v xml:space="preserve"> ROTATIVA EM ROCHA FN=75MM TESTEMUNHO ACONDICIONADO EM CAIXA DE MADEIRA</v>
          </cell>
          <cell r="E368" t="str">
            <v xml:space="preserve"> M </v>
          </cell>
          <cell r="F368">
            <v>136.5</v>
          </cell>
          <cell r="G368">
            <v>693.07</v>
          </cell>
          <cell r="H368">
            <v>94604.055000000008</v>
          </cell>
        </row>
        <row r="369">
          <cell r="A369">
            <v>360</v>
          </cell>
          <cell r="D369" t="str">
            <v>TOTAL DA ATIVIDADE  "30.00.00"</v>
          </cell>
          <cell r="H369">
            <v>2228176.0437000003</v>
          </cell>
        </row>
        <row r="370">
          <cell r="A370">
            <v>361</v>
          </cell>
          <cell r="B370" t="str">
            <v>32.00.00</v>
          </cell>
          <cell r="D370" t="str">
            <v xml:space="preserve"> EQUIPAMENTOS</v>
          </cell>
        </row>
        <row r="371">
          <cell r="A371">
            <v>362</v>
          </cell>
          <cell r="B371" t="str">
            <v>32.01.00</v>
          </cell>
          <cell r="D371" t="str">
            <v xml:space="preserve"> EQUIPAMENTOS                                      </v>
          </cell>
        </row>
        <row r="372">
          <cell r="A372">
            <v>363</v>
          </cell>
          <cell r="B372" t="str">
            <v>32.01.03</v>
          </cell>
          <cell r="D372" t="str">
            <v xml:space="preserve"> CAMINHÃO PIPA COM CAPACIDADE PARA 6000 LITROS - HORA PRODUTIVA</v>
          </cell>
          <cell r="E372" t="str">
            <v>H</v>
          </cell>
          <cell r="F372">
            <v>1440</v>
          </cell>
          <cell r="G372">
            <v>65.64</v>
          </cell>
          <cell r="H372">
            <v>94521.600000000006</v>
          </cell>
        </row>
        <row r="373">
          <cell r="A373">
            <v>364</v>
          </cell>
          <cell r="B373" t="str">
            <v>32.01.04</v>
          </cell>
          <cell r="D373" t="str">
            <v xml:space="preserve"> ESGOTAMENTO DE AGUA COM BOMBAS 7HP SUBMERSIVEL Q&lt;=15M3 E H&lt;10M</v>
          </cell>
          <cell r="E373" t="str">
            <v>H</v>
          </cell>
          <cell r="F373">
            <v>475</v>
          </cell>
          <cell r="G373">
            <v>29.14</v>
          </cell>
          <cell r="H373">
            <v>13841.5</v>
          </cell>
        </row>
        <row r="374">
          <cell r="A374">
            <v>365</v>
          </cell>
          <cell r="B374" t="str">
            <v>32.01.05</v>
          </cell>
          <cell r="D374" t="str">
            <v xml:space="preserve"> CHP - BOMBA HIDROSUL DE 3''</v>
          </cell>
          <cell r="E374" t="str">
            <v>H</v>
          </cell>
          <cell r="F374">
            <v>8640</v>
          </cell>
          <cell r="G374">
            <v>0.37</v>
          </cell>
          <cell r="H374">
            <v>3196.8</v>
          </cell>
        </row>
        <row r="375">
          <cell r="A375">
            <v>366</v>
          </cell>
          <cell r="B375" t="str">
            <v>32.01.07</v>
          </cell>
          <cell r="D375" t="str">
            <v xml:space="preserve"> GRUPO GERADOR DE ENERGIA, TRIFASICO, CAPACIDADE DE 60KVA - HORA PRODUTIVA</v>
          </cell>
          <cell r="E375" t="str">
            <v>H</v>
          </cell>
          <cell r="F375">
            <v>2880</v>
          </cell>
          <cell r="G375">
            <v>21.68</v>
          </cell>
          <cell r="H375">
            <v>62438.400000000001</v>
          </cell>
        </row>
        <row r="376">
          <cell r="A376">
            <v>367</v>
          </cell>
          <cell r="B376" t="str">
            <v>32.01.12</v>
          </cell>
          <cell r="D376" t="str">
            <v xml:space="preserve"> CAMINHAO PARA EQUIPE PARA EFETIVAR MUDANÇA DAS FAMILIAS DESAPROPRIADAS</v>
          </cell>
          <cell r="E376" t="str">
            <v xml:space="preserve"> UN   </v>
          </cell>
          <cell r="F376">
            <v>240</v>
          </cell>
          <cell r="G376">
            <v>462.05</v>
          </cell>
          <cell r="H376">
            <v>110892</v>
          </cell>
        </row>
        <row r="377">
          <cell r="A377">
            <v>368</v>
          </cell>
          <cell r="D377" t="str">
            <v>TOTAL DA ATIVIDADE  "32.00.00"</v>
          </cell>
          <cell r="H377">
            <v>284890.30000000005</v>
          </cell>
        </row>
        <row r="378">
          <cell r="A378">
            <v>369</v>
          </cell>
          <cell r="B378" t="str">
            <v>DIRETORIA</v>
          </cell>
          <cell r="C378" t="str">
            <v>UNIDADE</v>
          </cell>
          <cell r="D378" t="str">
            <v>ELABORADO</v>
          </cell>
          <cell r="E378" t="str">
            <v>VISTO</v>
          </cell>
          <cell r="F378" t="str">
            <v>TOTAL</v>
          </cell>
        </row>
        <row r="379">
          <cell r="A379">
            <v>370</v>
          </cell>
          <cell r="B379" t="str">
            <v>SP/DOF</v>
          </cell>
          <cell r="C379" t="str">
            <v>DOF/DPF</v>
          </cell>
          <cell r="G379" t="str">
            <v>ANTERIOR</v>
          </cell>
          <cell r="H379">
            <v>60518767.475499988</v>
          </cell>
        </row>
        <row r="380">
          <cell r="A380">
            <v>371</v>
          </cell>
          <cell r="B380" t="str">
            <v xml:space="preserve">ORÇAMENTO Nº </v>
          </cell>
          <cell r="C380" t="str">
            <v>DATA</v>
          </cell>
          <cell r="G380" t="str">
            <v>FOLHA</v>
          </cell>
          <cell r="H380">
            <v>2513066.3437000001</v>
          </cell>
        </row>
        <row r="381">
          <cell r="A381">
            <v>372</v>
          </cell>
          <cell r="B381" t="str">
            <v>0077/13</v>
          </cell>
          <cell r="C381">
            <v>41494</v>
          </cell>
          <cell r="G381" t="str">
            <v>TOTAL</v>
          </cell>
          <cell r="H381">
            <v>63031833.819199987</v>
          </cell>
        </row>
        <row r="382">
          <cell r="A382">
            <v>373</v>
          </cell>
          <cell r="B382" t="str">
            <v>PLANILHA DE PROJETOS</v>
          </cell>
        </row>
        <row r="383">
          <cell r="A383">
            <v>374</v>
          </cell>
          <cell r="D383" t="str">
            <v>PLANILHA DE ORÇAMENTO</v>
          </cell>
          <cell r="E383" t="str">
            <v>LICITAÇÃO Nº</v>
          </cell>
          <cell r="F383" t="str">
            <v>CONTRATO Nº</v>
          </cell>
          <cell r="G383" t="str">
            <v>Mês/Ref.</v>
          </cell>
          <cell r="H383" t="str">
            <v>FOLHA</v>
          </cell>
        </row>
        <row r="384">
          <cell r="A384">
            <v>375</v>
          </cell>
          <cell r="G384" t="str">
            <v>AGOSTO/2013</v>
          </cell>
        </row>
        <row r="385">
          <cell r="A385">
            <v>376</v>
          </cell>
          <cell r="D385" t="str">
            <v xml:space="preserve">OBRA/TRECHO </v>
          </cell>
        </row>
        <row r="386">
          <cell r="A386">
            <v>377</v>
          </cell>
          <cell r="D386" t="str">
            <v>CORREGO TÚNEL CAMARÕES - BACIA DE CONTROLE DE CHEIAS - ETAPA 1                                                                                                                       DV-S-INF-11-0340</v>
          </cell>
        </row>
        <row r="387">
          <cell r="A387">
            <v>378</v>
          </cell>
        </row>
        <row r="388">
          <cell r="A388">
            <v>379</v>
          </cell>
          <cell r="B388" t="str">
            <v>CÓDIGO</v>
          </cell>
          <cell r="D388" t="str">
            <v>DESCRIÇÃO DO SERVIÇO</v>
          </cell>
          <cell r="E388" t="str">
            <v>UNIDADE</v>
          </cell>
          <cell r="F388" t="str">
            <v>QUANTIDADE</v>
          </cell>
          <cell r="G388" t="str">
            <v>PREÇO UNITÁRIO</v>
          </cell>
          <cell r="H388" t="str">
            <v>PREÇO TOTAL</v>
          </cell>
        </row>
        <row r="389">
          <cell r="A389">
            <v>380</v>
          </cell>
        </row>
        <row r="390">
          <cell r="A390">
            <v>381</v>
          </cell>
          <cell r="B390" t="str">
            <v>01.00.00</v>
          </cell>
          <cell r="D390" t="str">
            <v>PESSOAL</v>
          </cell>
          <cell r="E390">
            <v>0</v>
          </cell>
        </row>
        <row r="391">
          <cell r="A391">
            <v>382</v>
          </cell>
          <cell r="B391" t="str">
            <v>01.11.00</v>
          </cell>
          <cell r="D391" t="str">
            <v xml:space="preserve"> ENGENHEIRO PARA ELABORAÇÃO DE PROJETOS</v>
          </cell>
          <cell r="E391">
            <v>0</v>
          </cell>
        </row>
        <row r="392">
          <cell r="A392">
            <v>383</v>
          </cell>
          <cell r="B392" t="str">
            <v>01.11.02</v>
          </cell>
          <cell r="D392" t="str">
            <v xml:space="preserve"> ENGENHEIRO CONSULTOR</v>
          </cell>
          <cell r="E392" t="str">
            <v xml:space="preserve"> H</v>
          </cell>
          <cell r="F392">
            <v>1014</v>
          </cell>
          <cell r="G392">
            <v>155.88999999999999</v>
          </cell>
          <cell r="H392">
            <v>158072.46</v>
          </cell>
        </row>
        <row r="393">
          <cell r="A393">
            <v>384</v>
          </cell>
          <cell r="B393" t="str">
            <v>01.11.04</v>
          </cell>
          <cell r="D393" t="str">
            <v xml:space="preserve"> ENGENHEIRO SENIOR</v>
          </cell>
          <cell r="E393" t="str">
            <v xml:space="preserve"> H</v>
          </cell>
          <cell r="F393">
            <v>2028</v>
          </cell>
          <cell r="G393">
            <v>116.85</v>
          </cell>
          <cell r="H393">
            <v>236971.8</v>
          </cell>
        </row>
        <row r="394">
          <cell r="A394">
            <v>385</v>
          </cell>
          <cell r="B394" t="str">
            <v>01.13.00</v>
          </cell>
          <cell r="D394" t="str">
            <v xml:space="preserve"> PROJETISTA PARA ELABORAÇÃO DE PROJETOS                            </v>
          </cell>
        </row>
        <row r="395">
          <cell r="A395">
            <v>386</v>
          </cell>
          <cell r="B395" t="str">
            <v>01.13.04</v>
          </cell>
          <cell r="D395" t="str">
            <v xml:space="preserve"> PROJETISTA CADISTA</v>
          </cell>
          <cell r="E395" t="str">
            <v xml:space="preserve"> H</v>
          </cell>
          <cell r="F395">
            <v>2028</v>
          </cell>
          <cell r="G395">
            <v>43.93</v>
          </cell>
          <cell r="H395">
            <v>89090.04</v>
          </cell>
        </row>
        <row r="396">
          <cell r="A396">
            <v>387</v>
          </cell>
          <cell r="B396" t="str">
            <v>01.15.00</v>
          </cell>
          <cell r="D396" t="str">
            <v xml:space="preserve"> DESENHISTA PARA ELABORAÇÃO DE PROJETOS                            </v>
          </cell>
        </row>
        <row r="397">
          <cell r="A397">
            <v>388</v>
          </cell>
          <cell r="B397" t="str">
            <v>01.15.02</v>
          </cell>
          <cell r="D397" t="str">
            <v xml:space="preserve"> DESENHISTA TECNICO / CADISTA             </v>
          </cell>
          <cell r="E397" t="str">
            <v xml:space="preserve"> H</v>
          </cell>
          <cell r="F397">
            <v>4056</v>
          </cell>
          <cell r="G397">
            <v>20.21</v>
          </cell>
          <cell r="H397">
            <v>81971.760000000009</v>
          </cell>
        </row>
        <row r="398">
          <cell r="A398">
            <v>389</v>
          </cell>
          <cell r="B398" t="str">
            <v>01.15.03</v>
          </cell>
          <cell r="D398" t="str">
            <v xml:space="preserve"> DESENHISTA COPISTA</v>
          </cell>
          <cell r="E398" t="str">
            <v xml:space="preserve"> H</v>
          </cell>
          <cell r="F398">
            <v>4056</v>
          </cell>
          <cell r="G398">
            <v>19.170000000000002</v>
          </cell>
          <cell r="H398">
            <v>77753.52</v>
          </cell>
        </row>
        <row r="399">
          <cell r="A399">
            <v>390</v>
          </cell>
          <cell r="D399" t="str">
            <v>TOTAL DA ATIVIDADE  "01.00.00"</v>
          </cell>
          <cell r="H399">
            <v>643859.58000000007</v>
          </cell>
        </row>
        <row r="400">
          <cell r="A400">
            <v>391</v>
          </cell>
          <cell r="B400" t="str">
            <v>04.00.00</v>
          </cell>
          <cell r="D400" t="str">
            <v xml:space="preserve"> SERVIÇOS DE GRÁFICA</v>
          </cell>
        </row>
        <row r="401">
          <cell r="A401">
            <v>392</v>
          </cell>
          <cell r="B401" t="str">
            <v>04.11.00</v>
          </cell>
          <cell r="D401" t="str">
            <v>ENCADERNAÇÃO</v>
          </cell>
        </row>
        <row r="402">
          <cell r="A402">
            <v>393</v>
          </cell>
          <cell r="B402" t="str">
            <v>04.11.01</v>
          </cell>
          <cell r="D402" t="str">
            <v>EM CAPA A4 DE ACETATO, PVC / CROMICOTE , C/ ESPIRAL</v>
          </cell>
          <cell r="E402" t="str">
            <v xml:space="preserve"> UN   </v>
          </cell>
          <cell r="F402">
            <v>98</v>
          </cell>
          <cell r="G402">
            <v>3.39</v>
          </cell>
          <cell r="H402">
            <v>332.22</v>
          </cell>
        </row>
        <row r="403">
          <cell r="A403">
            <v>394</v>
          </cell>
          <cell r="B403" t="str">
            <v>04.12.00</v>
          </cell>
          <cell r="D403" t="str">
            <v>PLOTAGEM PRETO E BRANCO SULFITE</v>
          </cell>
        </row>
        <row r="404">
          <cell r="A404">
            <v>395</v>
          </cell>
          <cell r="B404" t="str">
            <v>04.12.01</v>
          </cell>
          <cell r="D404" t="str">
            <v>FORMATO A4</v>
          </cell>
          <cell r="E404" t="str">
            <v xml:space="preserve"> UN   </v>
          </cell>
          <cell r="F404">
            <v>1000</v>
          </cell>
          <cell r="G404">
            <v>1.26</v>
          </cell>
          <cell r="H404">
            <v>1260</v>
          </cell>
        </row>
        <row r="405">
          <cell r="A405">
            <v>396</v>
          </cell>
          <cell r="B405" t="str">
            <v>04.12.02</v>
          </cell>
          <cell r="D405" t="str">
            <v>FORMATO A3</v>
          </cell>
          <cell r="E405" t="str">
            <v xml:space="preserve"> UN   </v>
          </cell>
          <cell r="F405">
            <v>150</v>
          </cell>
          <cell r="G405">
            <v>2.04</v>
          </cell>
          <cell r="H405">
            <v>306</v>
          </cell>
        </row>
        <row r="406">
          <cell r="A406">
            <v>397</v>
          </cell>
          <cell r="B406" t="str">
            <v>04.12.04</v>
          </cell>
          <cell r="D406" t="str">
            <v>FORMATO A1</v>
          </cell>
          <cell r="E406" t="str">
            <v xml:space="preserve"> UN   </v>
          </cell>
          <cell r="F406">
            <v>180</v>
          </cell>
          <cell r="G406">
            <v>4</v>
          </cell>
          <cell r="H406">
            <v>720</v>
          </cell>
        </row>
        <row r="407">
          <cell r="A407">
            <v>398</v>
          </cell>
          <cell r="B407" t="str">
            <v>04.15.00</v>
          </cell>
          <cell r="D407" t="str">
            <v>PLOTAGEM COLORIDA SULFITE</v>
          </cell>
        </row>
        <row r="408">
          <cell r="A408">
            <v>399</v>
          </cell>
          <cell r="B408" t="str">
            <v>04.15.01</v>
          </cell>
          <cell r="D408" t="str">
            <v>FORMATO A4</v>
          </cell>
          <cell r="E408" t="str">
            <v xml:space="preserve"> UN   </v>
          </cell>
          <cell r="F408">
            <v>1000</v>
          </cell>
          <cell r="G408">
            <v>2.4500000000000002</v>
          </cell>
          <cell r="H408">
            <v>2450</v>
          </cell>
        </row>
        <row r="409">
          <cell r="A409">
            <v>400</v>
          </cell>
          <cell r="B409" t="str">
            <v>04.15.02</v>
          </cell>
          <cell r="D409" t="str">
            <v>FORMATO A3</v>
          </cell>
          <cell r="E409" t="str">
            <v xml:space="preserve"> UN   </v>
          </cell>
          <cell r="F409">
            <v>150</v>
          </cell>
          <cell r="G409">
            <v>4.3899999999999997</v>
          </cell>
          <cell r="H409">
            <v>658.5</v>
          </cell>
        </row>
        <row r="410">
          <cell r="A410">
            <v>401</v>
          </cell>
          <cell r="B410" t="str">
            <v>04.15.04</v>
          </cell>
          <cell r="D410" t="str">
            <v>FORMATO A1</v>
          </cell>
          <cell r="E410" t="str">
            <v xml:space="preserve"> UN   </v>
          </cell>
          <cell r="F410">
            <v>180</v>
          </cell>
          <cell r="G410">
            <v>11.13</v>
          </cell>
          <cell r="H410">
            <v>2003.4</v>
          </cell>
        </row>
        <row r="411">
          <cell r="A411">
            <v>402</v>
          </cell>
          <cell r="D411" t="str">
            <v>TOTAL DA ATIVIDADE  "04.00.00"</v>
          </cell>
          <cell r="H411">
            <v>7730.1200000000008</v>
          </cell>
        </row>
        <row r="412">
          <cell r="A412">
            <v>403</v>
          </cell>
          <cell r="B412" t="str">
            <v>05.00.00</v>
          </cell>
          <cell r="D412" t="str">
            <v xml:space="preserve"> INVESTIGAÇÕES GEOTECNICAS</v>
          </cell>
        </row>
        <row r="413">
          <cell r="A413">
            <v>404</v>
          </cell>
          <cell r="B413" t="str">
            <v>05.01.00</v>
          </cell>
          <cell r="D413" t="str">
            <v xml:space="preserve"> SONDAGEM A PERCUSSÃO D= 2 1/2 " (SPT)</v>
          </cell>
        </row>
        <row r="414">
          <cell r="A414">
            <v>405</v>
          </cell>
          <cell r="B414" t="str">
            <v>05.01.01</v>
          </cell>
          <cell r="D414" t="str">
            <v xml:space="preserve"> MOBILIZAÇÃO E INSTALAÇÃO</v>
          </cell>
          <cell r="E414" t="str">
            <v>VB</v>
          </cell>
          <cell r="F414">
            <v>3</v>
          </cell>
          <cell r="G414">
            <v>808.91</v>
          </cell>
          <cell r="H414">
            <v>2426.73</v>
          </cell>
        </row>
        <row r="415">
          <cell r="A415">
            <v>406</v>
          </cell>
          <cell r="B415" t="str">
            <v>05.01.02</v>
          </cell>
          <cell r="D415" t="str">
            <v xml:space="preserve"> PERFURAÇÃO</v>
          </cell>
          <cell r="E415" t="str">
            <v>M</v>
          </cell>
          <cell r="F415">
            <v>800</v>
          </cell>
          <cell r="G415">
            <v>77.48</v>
          </cell>
          <cell r="H415">
            <v>61984</v>
          </cell>
        </row>
        <row r="416">
          <cell r="A416">
            <v>407</v>
          </cell>
          <cell r="B416" t="str">
            <v>05.02.00</v>
          </cell>
          <cell r="D416" t="str">
            <v xml:space="preserve"> SONDAGEM A TRADO D= 20 CM</v>
          </cell>
        </row>
        <row r="417">
          <cell r="A417">
            <v>408</v>
          </cell>
          <cell r="B417" t="str">
            <v>05.02.01</v>
          </cell>
          <cell r="D417" t="str">
            <v>MOBILIZAÇÃO</v>
          </cell>
          <cell r="E417" t="str">
            <v>VB</v>
          </cell>
          <cell r="F417">
            <v>3</v>
          </cell>
          <cell r="G417">
            <v>581.09</v>
          </cell>
          <cell r="H417">
            <v>1743.27</v>
          </cell>
        </row>
        <row r="418">
          <cell r="A418">
            <v>409</v>
          </cell>
          <cell r="B418" t="str">
            <v>05.02.02</v>
          </cell>
          <cell r="D418" t="str">
            <v xml:space="preserve"> PERFURAÇÃO</v>
          </cell>
          <cell r="E418" t="str">
            <v>M</v>
          </cell>
          <cell r="F418">
            <v>420</v>
          </cell>
          <cell r="G418">
            <v>47.96</v>
          </cell>
          <cell r="H418">
            <v>20143.2</v>
          </cell>
        </row>
        <row r="419">
          <cell r="A419">
            <v>410</v>
          </cell>
          <cell r="D419" t="str">
            <v>TOTAL DA ATIVIDADE  "05.00.00"</v>
          </cell>
          <cell r="H419">
            <v>86297.2</v>
          </cell>
        </row>
        <row r="420">
          <cell r="A420">
            <v>411</v>
          </cell>
          <cell r="B420" t="str">
            <v>DIRETORIA</v>
          </cell>
          <cell r="C420" t="str">
            <v>UNIDADE</v>
          </cell>
          <cell r="D420" t="str">
            <v>ELABORADO</v>
          </cell>
          <cell r="E420" t="str">
            <v>VISTO</v>
          </cell>
          <cell r="F420" t="str">
            <v>TOTAL</v>
          </cell>
        </row>
        <row r="421">
          <cell r="A421">
            <v>412</v>
          </cell>
          <cell r="B421" t="str">
            <v>SP/DOF</v>
          </cell>
          <cell r="C421" t="str">
            <v>DOF/DPF</v>
          </cell>
          <cell r="G421" t="str">
            <v>ANTERIOR</v>
          </cell>
          <cell r="H421">
            <v>0</v>
          </cell>
        </row>
        <row r="422">
          <cell r="A422">
            <v>413</v>
          </cell>
          <cell r="B422" t="str">
            <v xml:space="preserve">ORÇAMENTO Nº </v>
          </cell>
          <cell r="C422" t="str">
            <v>DATA</v>
          </cell>
          <cell r="G422" t="str">
            <v>FOLHA</v>
          </cell>
          <cell r="H422">
            <v>737886.9</v>
          </cell>
        </row>
        <row r="423">
          <cell r="A423">
            <v>414</v>
          </cell>
          <cell r="B423" t="str">
            <v>0076/13</v>
          </cell>
          <cell r="C423">
            <v>41494</v>
          </cell>
          <cell r="G423" t="str">
            <v>TOTAL</v>
          </cell>
          <cell r="H423">
            <v>737886.9</v>
          </cell>
        </row>
        <row r="424">
          <cell r="A424">
            <v>415</v>
          </cell>
          <cell r="B424" t="str">
            <v>CUSTOS EXTRAS</v>
          </cell>
        </row>
        <row r="425">
          <cell r="A425">
            <v>416</v>
          </cell>
          <cell r="B425" t="str">
            <v>34. 00. 01</v>
          </cell>
          <cell r="D425" t="str">
            <v xml:space="preserve"> TAXA BOTA FORA E JAZIDA            </v>
          </cell>
          <cell r="E425" t="str">
            <v>VB</v>
          </cell>
          <cell r="F425">
            <v>1</v>
          </cell>
          <cell r="G425" t="e">
            <v>#REF!</v>
          </cell>
        </row>
        <row r="426">
          <cell r="A426">
            <v>417</v>
          </cell>
          <cell r="B426" t="str">
            <v>34. 00. 02</v>
          </cell>
          <cell r="D426" t="str">
            <v>EQUIPAMENTO APOIO BOTA FORA</v>
          </cell>
          <cell r="E426" t="str">
            <v>MÊS</v>
          </cell>
          <cell r="F426">
            <v>9</v>
          </cell>
          <cell r="G426" t="e">
            <v>#REF!</v>
          </cell>
        </row>
        <row r="427">
          <cell r="A427">
            <v>418</v>
          </cell>
          <cell r="B427" t="str">
            <v>34. 00. 03</v>
          </cell>
          <cell r="D427" t="str">
            <v>EQUIPAMENTO DE APOIO</v>
          </cell>
          <cell r="E427" t="str">
            <v>MÊS</v>
          </cell>
          <cell r="F427">
            <v>9</v>
          </cell>
          <cell r="G427" t="e">
            <v>#REF!</v>
          </cell>
        </row>
        <row r="428">
          <cell r="A428">
            <v>419</v>
          </cell>
          <cell r="B428" t="str">
            <v>34. 00. 04</v>
          </cell>
          <cell r="D428" t="str">
            <v>VISTORIA CAUTELAR</v>
          </cell>
          <cell r="E428" t="str">
            <v xml:space="preserve">UN  </v>
          </cell>
          <cell r="F428">
            <v>200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BM GERAL"/>
      <sheetName val="BM DETALHADO"/>
      <sheetName val="MEM. CALC."/>
      <sheetName val="RELAT. FOTOG."/>
    </sheetNames>
    <sheetDataSet>
      <sheetData sheetId="0"/>
      <sheetData sheetId="1">
        <row r="19">
          <cell r="G19">
            <v>7563.0820000000003</v>
          </cell>
        </row>
      </sheetData>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BM GERAL"/>
      <sheetName val="BM DETALHADO"/>
      <sheetName val="MEMÓRIA DE CÁLCULO"/>
      <sheetName val="RELAT. FOTOG."/>
    </sheetNames>
    <sheetDataSet>
      <sheetData sheetId="0"/>
      <sheetData sheetId="1"/>
      <sheetData sheetId="2"/>
      <sheetData sheetId="3">
        <row r="25">
          <cell r="K25">
            <v>1</v>
          </cell>
        </row>
        <row r="46">
          <cell r="K46">
            <v>158.77000000000001</v>
          </cell>
        </row>
        <row r="67">
          <cell r="K67">
            <v>60</v>
          </cell>
        </row>
        <row r="88">
          <cell r="K88">
            <v>6</v>
          </cell>
        </row>
        <row r="109">
          <cell r="K109">
            <v>555.70000000000005</v>
          </cell>
        </row>
        <row r="130">
          <cell r="K130">
            <v>1</v>
          </cell>
        </row>
        <row r="151">
          <cell r="K151">
            <v>0</v>
          </cell>
        </row>
        <row r="172">
          <cell r="K172">
            <v>0</v>
          </cell>
        </row>
        <row r="193">
          <cell r="K193">
            <v>0</v>
          </cell>
        </row>
        <row r="214">
          <cell r="K214">
            <v>0</v>
          </cell>
        </row>
        <row r="235">
          <cell r="K235">
            <v>0</v>
          </cell>
        </row>
        <row r="256">
          <cell r="K256">
            <v>6</v>
          </cell>
        </row>
        <row r="541">
          <cell r="K541">
            <v>79.999499999999998</v>
          </cell>
        </row>
        <row r="687">
          <cell r="K687">
            <v>6.6488800000000001</v>
          </cell>
        </row>
        <row r="708">
          <cell r="K708">
            <v>240</v>
          </cell>
        </row>
        <row r="733">
          <cell r="K733">
            <v>29.486641999999996</v>
          </cell>
        </row>
        <row r="817">
          <cell r="K817">
            <v>193.02</v>
          </cell>
        </row>
        <row r="838">
          <cell r="K838">
            <v>0</v>
          </cell>
        </row>
        <row r="880">
          <cell r="K880">
            <v>1</v>
          </cell>
        </row>
        <row r="914">
          <cell r="K914">
            <v>29.999648499999996</v>
          </cell>
        </row>
        <row r="935">
          <cell r="K935">
            <v>848.37</v>
          </cell>
        </row>
        <row r="957">
          <cell r="K957">
            <v>1637</v>
          </cell>
        </row>
        <row r="981">
          <cell r="K981">
            <v>596.72</v>
          </cell>
        </row>
        <row r="1002">
          <cell r="K1002">
            <v>283</v>
          </cell>
        </row>
        <row r="1026">
          <cell r="K1026">
            <v>37.380000000000003</v>
          </cell>
        </row>
        <row r="1047">
          <cell r="K1047">
            <v>0</v>
          </cell>
        </row>
        <row r="1068">
          <cell r="K1068">
            <v>0</v>
          </cell>
        </row>
        <row r="1156">
          <cell r="K1156">
            <v>149.31</v>
          </cell>
        </row>
        <row r="1177">
          <cell r="K1177">
            <v>0</v>
          </cell>
        </row>
        <row r="1197">
          <cell r="K1197">
            <v>376</v>
          </cell>
        </row>
        <row r="1220">
          <cell r="K1220">
            <v>60</v>
          </cell>
        </row>
        <row r="1242">
          <cell r="K1242">
            <v>50</v>
          </cell>
        </row>
        <row r="1288">
          <cell r="K1288">
            <v>18</v>
          </cell>
        </row>
        <row r="1312">
          <cell r="K1312">
            <v>646.92999999999995</v>
          </cell>
        </row>
        <row r="1336">
          <cell r="K1336">
            <v>14</v>
          </cell>
        </row>
        <row r="1378">
          <cell r="K1378">
            <v>1</v>
          </cell>
        </row>
        <row r="1399">
          <cell r="K1399">
            <v>30.9</v>
          </cell>
        </row>
        <row r="1441">
          <cell r="K1441">
            <v>30</v>
          </cell>
        </row>
        <row r="1522">
          <cell r="K1522">
            <v>4999.9999000000007</v>
          </cell>
        </row>
        <row r="1589">
          <cell r="K1589">
            <v>1028</v>
          </cell>
        </row>
        <row r="1736">
          <cell r="K1736">
            <v>0.13</v>
          </cell>
        </row>
      </sheetData>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BM GERAL"/>
      <sheetName val="BM DETALHADO"/>
      <sheetName val="MEMÓRIA DE CÁLCULO"/>
      <sheetName val="RELAT. FOTOG."/>
    </sheetNames>
    <sheetDataSet>
      <sheetData sheetId="0"/>
      <sheetData sheetId="1"/>
      <sheetData sheetId="2">
        <row r="6">
          <cell r="C6" t="str">
            <v>RESTAURARE CONSTRUTORA LTDA</v>
          </cell>
        </row>
        <row r="13">
          <cell r="B13" t="str">
            <v>1</v>
          </cell>
          <cell r="C13" t="str">
            <v>SERVIÇOS PRELIMINARES</v>
          </cell>
          <cell r="D13"/>
          <cell r="E13"/>
        </row>
        <row r="14">
          <cell r="B14" t="str">
            <v>1.1</v>
          </cell>
          <cell r="C14" t="str">
            <v>FORNECIMENTO E COLOCAÇÃO DE PLACA DE OBRA EM CHAPA GALVANIZADA (3,00 X 1,5 0 M) - EM CHAPA GALVANIZADA 0,26 AFIXADAS COM REBITES 540 E PARAFUSOS 3/8, EM ESTRUTURA METÁLICA VIGA U 2" ENRIJECIDA COM METALON 20 X 20, SUPORTE EM EUCALIPTO AUTOCLAVADO PINTADAS</v>
          </cell>
          <cell r="D14" t="str">
            <v>U</v>
          </cell>
          <cell r="E14">
            <v>1</v>
          </cell>
        </row>
        <row r="15">
          <cell r="B15" t="str">
            <v>1.2</v>
          </cell>
          <cell r="C15" t="str">
            <v>TAPUME PADRAO SUDECAP (TIPO I, II E III)</v>
          </cell>
          <cell r="D15"/>
          <cell r="E15"/>
        </row>
        <row r="16">
          <cell r="B16" t="str">
            <v>1.3</v>
          </cell>
          <cell r="C16" t="str">
            <v>CHAPA DE ZINCO 0,5 MM ESTRUTURADO COM MADEIRA, ALTURA 2,1 M</v>
          </cell>
          <cell r="D16" t="str">
            <v>M</v>
          </cell>
          <cell r="E16">
            <v>159</v>
          </cell>
        </row>
        <row r="17">
          <cell r="B17" t="str">
            <v>1.4</v>
          </cell>
          <cell r="C17" t="str">
            <v>CABO ATERRAMENTO DO TAPUME METÁLICO 25 mm2</v>
          </cell>
          <cell r="D17" t="str">
            <v>M</v>
          </cell>
          <cell r="E17">
            <v>60</v>
          </cell>
        </row>
        <row r="18">
          <cell r="B18" t="str">
            <v>1.5</v>
          </cell>
          <cell r="C18" t="str">
            <v>HASTE ATERRAMENTO TAPUME</v>
          </cell>
          <cell r="D18" t="str">
            <v>UNID</v>
          </cell>
          <cell r="E18">
            <v>6</v>
          </cell>
        </row>
        <row r="19">
          <cell r="B19" t="str">
            <v>1.6</v>
          </cell>
          <cell r="C19" t="str">
            <v>PINTURA EPÓXI EM SUPERFÍCIES DE AÇO CARBONO, DUAS (2) DEMÃOS</v>
          </cell>
          <cell r="D19" t="str">
            <v>M2</v>
          </cell>
          <cell r="E19">
            <v>667.80000000000007</v>
          </cell>
        </row>
        <row r="20">
          <cell r="B20" t="str">
            <v>1.7</v>
          </cell>
          <cell r="C20" t="str">
            <v>LIGAÇÃO PROVISÓRIA DE LUZ E FORÇA-PADRÃO PROVISÓRIO 30KVA</v>
          </cell>
          <cell r="D20" t="str">
            <v>U</v>
          </cell>
          <cell r="E20">
            <v>1</v>
          </cell>
        </row>
        <row r="21">
          <cell r="B21" t="str">
            <v>1.8</v>
          </cell>
          <cell r="C21" t="str">
            <v>CONTAINER (6,0X2,3X2,5M) COM ISOLAMENTO TÉRMICO - ESCRITÓRIO COM AR CONDICIONADO E SANITÁRIO COMPLETO</v>
          </cell>
          <cell r="D21" t="str">
            <v>MÊS</v>
          </cell>
          <cell r="E21">
            <v>12</v>
          </cell>
        </row>
        <row r="22">
          <cell r="B22" t="str">
            <v>1.9</v>
          </cell>
          <cell r="C22" t="str">
            <v>CONTAINER (6,0X2,3X2,5M) COM ISOLAMENTO TÉRMICO - DEPÓSITO E FERRAMENTARIA COM LAVATÓRIO</v>
          </cell>
          <cell r="D22" t="str">
            <v>MÊS</v>
          </cell>
          <cell r="E22">
            <v>6</v>
          </cell>
        </row>
        <row r="23">
          <cell r="B23" t="str">
            <v>1.10</v>
          </cell>
          <cell r="C23" t="str">
            <v>CONTAINER (6,0X2,3X2,5M) COM ISOLAMENTO TÉRMICO - REFEITÓRIO COMPLETO</v>
          </cell>
          <cell r="D23" t="str">
            <v>MÊS</v>
          </cell>
          <cell r="E23">
            <v>6</v>
          </cell>
        </row>
        <row r="24">
          <cell r="B24" t="str">
            <v>1.11</v>
          </cell>
          <cell r="C24" t="str">
            <v>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v>
          </cell>
          <cell r="D24" t="str">
            <v>MÊS</v>
          </cell>
          <cell r="E24">
            <v>6</v>
          </cell>
        </row>
        <row r="25">
          <cell r="B25" t="str">
            <v>1.12</v>
          </cell>
          <cell r="C25" t="str">
            <v>MOBILIZAÇÃO E DESMOBILIZAÇÃO DE CONTAINER, INCLUSIVE INSTALAÇÃO E TRANSPORTE COM CAMINHÃO GUINDAUTO (MUNCK)</v>
          </cell>
          <cell r="D25" t="str">
            <v>UN</v>
          </cell>
          <cell r="E25">
            <v>5</v>
          </cell>
        </row>
        <row r="26">
          <cell r="B26" t="str">
            <v>1.13</v>
          </cell>
          <cell r="C26" t="str">
            <v>EXTINTOR DE CO2 6KG - FORNECIMENTO E INSTALACAO</v>
          </cell>
          <cell r="D26" t="str">
            <v>UN</v>
          </cell>
          <cell r="E26">
            <v>6</v>
          </cell>
        </row>
        <row r="27">
          <cell r="B27" t="str">
            <v>1.14</v>
          </cell>
          <cell r="C27" t="str">
            <v>ANDAIME FACHADEIRO</v>
          </cell>
          <cell r="D27"/>
          <cell r="E27"/>
        </row>
        <row r="28">
          <cell r="B28" t="str">
            <v>1.15</v>
          </cell>
          <cell r="C28" t="str">
            <v>ANDAIME FACHADEIRO INCLUSIVE FORRO METALICO</v>
          </cell>
          <cell r="D28" t="str">
            <v>M2MES</v>
          </cell>
          <cell r="E28">
            <v>6882</v>
          </cell>
        </row>
        <row r="29">
          <cell r="B29" t="str">
            <v>1.16</v>
          </cell>
          <cell r="C29" t="str">
            <v>GUARDA CORPO MADEIRA L= 15 CM P/ ANDAIME FACHADEIRO</v>
          </cell>
          <cell r="D29" t="str">
            <v>M2</v>
          </cell>
          <cell r="E29">
            <v>1147</v>
          </cell>
        </row>
        <row r="30">
          <cell r="B30" t="str">
            <v>1.17</v>
          </cell>
          <cell r="C30" t="str">
            <v>MONTAGEM DE ANDAIME FACHADEIRO</v>
          </cell>
          <cell r="D30" t="str">
            <v>M2</v>
          </cell>
          <cell r="E30">
            <v>1147</v>
          </cell>
        </row>
        <row r="31">
          <cell r="B31" t="str">
            <v>1.18</v>
          </cell>
          <cell r="C31" t="str">
            <v>DESMONTAGEM DE ANDAIME FACHADEIRO</v>
          </cell>
          <cell r="D31" t="str">
            <v>M2</v>
          </cell>
          <cell r="E31">
            <v>1147</v>
          </cell>
        </row>
        <row r="32">
          <cell r="B32" t="str">
            <v>1.19</v>
          </cell>
          <cell r="C32" t="str">
            <v>TAXAS ( CREA, CAU, etc)</v>
          </cell>
          <cell r="D32" t="str">
            <v>UN</v>
          </cell>
          <cell r="E32">
            <v>1</v>
          </cell>
        </row>
        <row r="33">
          <cell r="B33" t="str">
            <v>1.20</v>
          </cell>
          <cell r="C33" t="str">
            <v>LOCACAO DE ESCORA METALICA TELESCOPICA, COM ALTURA REGULAVEL DE *1,80* A *3,20* M, COM CAPACIDADE DE CARGA DE NO MINIMO 1000 KGF (10 KN), INCLUSO TRIPE E FORCADO</v>
          </cell>
          <cell r="D33" t="str">
            <v>Mxmês</v>
          </cell>
          <cell r="E33">
            <v>1200</v>
          </cell>
        </row>
        <row r="34">
          <cell r="B34" t="str">
            <v>1.21</v>
          </cell>
          <cell r="C34" t="str">
            <v>BARRACÃO CANTEIRO NA PRAÇA JULI, PARA GUARDA  DE MATERIAIS ARTÍSTICOS  E OU RESTAURADOS PARA RE-UTILIZAÇÃO</v>
          </cell>
          <cell r="D34" t="str">
            <v>M2</v>
          </cell>
          <cell r="E34">
            <v>100</v>
          </cell>
        </row>
        <row r="35">
          <cell r="B35" t="str">
            <v>1.22</v>
          </cell>
          <cell r="C35" t="str">
            <v>VIGIA PARA HORÁRIO DE INTEGRAL</v>
          </cell>
          <cell r="D35" t="str">
            <v>H</v>
          </cell>
          <cell r="E35">
            <v>4320</v>
          </cell>
        </row>
        <row r="36">
          <cell r="B36" t="str">
            <v>1.23</v>
          </cell>
          <cell r="C36" t="str">
            <v>FORMA E ESCORAMENTO</v>
          </cell>
          <cell r="D36"/>
          <cell r="E36"/>
        </row>
        <row r="37">
          <cell r="B37" t="str">
            <v>1.24</v>
          </cell>
          <cell r="C37" t="str">
            <v>ESCORAMENTO CONTINUO TIPO B</v>
          </cell>
          <cell r="D37" t="str">
            <v>M2</v>
          </cell>
          <cell r="E37">
            <v>200</v>
          </cell>
        </row>
        <row r="38">
          <cell r="B38" t="str">
            <v>1.25</v>
          </cell>
          <cell r="C38" t="str">
            <v>FAIXA PLOTADA ADESIVADA PARA SINALIZAÇÃO DE TAPUME</v>
          </cell>
          <cell r="D38" t="str">
            <v>M2</v>
          </cell>
          <cell r="E38">
            <v>162.54</v>
          </cell>
        </row>
        <row r="39">
          <cell r="B39" t="str">
            <v>1.26</v>
          </cell>
          <cell r="C39" t="str">
            <v>LIGAÇÃO PROVISÓRIA DE ÁGUA E ESGOTO PARA CONTAINER (VESTIÁRIO DE OBRA), EXCLUSIVE CHUVEIRO ELÉTRICO</v>
          </cell>
          <cell r="D39" t="str">
            <v>UNID</v>
          </cell>
          <cell r="E39">
            <v>1</v>
          </cell>
        </row>
        <row r="40">
          <cell r="B40" t="str">
            <v>1.27</v>
          </cell>
          <cell r="C40" t="str">
            <v>EXTINTOR DE INCENDIO PORTATIL COM CARGA DE AGUA PRESSURIZADA DE 10 L, CLASSE A</v>
          </cell>
          <cell r="D40">
            <v>0</v>
          </cell>
          <cell r="E40">
            <v>6</v>
          </cell>
        </row>
        <row r="41">
          <cell r="B41" t="str">
            <v>1.28</v>
          </cell>
          <cell r="C41" t="str">
            <v>LOCACAO DE TORRE METALICA COMPLETA PARA UMA CARGA DE 8 TF (80 KN)  E PE DIREITO DE 6 M, INCLUINDO MODULOS , DIAGONAIS, SAPATAS E FORCADOS</v>
          </cell>
          <cell r="D41" t="str">
            <v>UNID</v>
          </cell>
          <cell r="E41">
            <v>12</v>
          </cell>
        </row>
        <row r="42">
          <cell r="B42" t="str">
            <v>1.29</v>
          </cell>
          <cell r="C42" t="str">
            <v>LOCAÇÃO DE ANDAIME DE TUBOS COM TRAVAS DE PRESSÃO DO FORCADO POR PARAFUSOS , PARA MONTAGEM DE ANDAIMES EM BALANÇO, com bandeja de proteção- Aluguel, montagem e desmotagem</v>
          </cell>
          <cell r="D42" t="str">
            <v>M2</v>
          </cell>
          <cell r="E42">
            <v>80</v>
          </cell>
        </row>
        <row r="43">
          <cell r="B43" t="str">
            <v>1.30</v>
          </cell>
          <cell r="C43" t="str">
            <v>ESTRUTURA DE ESCORAMENTO TIPO PONTALETEAMENTO</v>
          </cell>
          <cell r="D43" t="str">
            <v>m2</v>
          </cell>
          <cell r="E43">
            <v>569</v>
          </cell>
        </row>
        <row r="44">
          <cell r="B44" t="str">
            <v>1.31</v>
          </cell>
          <cell r="C44" t="str">
            <v>BARRACÃO DE OBRA PARA ESCRITÓRIO DA FISCALIZAÇÃO TIPO-I, ÁREA INTERNA 18,15M2, EM CHAPA DE COMPENSADO RESINADO, INCLUSIVE MOBILIÁRIO (OBRA DE PEQUENO A MÉDIO PORTE, EFETIVO ATÉ 60 HOMENS) - PADRÃO DEER-MG</v>
          </cell>
          <cell r="D44" t="str">
            <v xml:space="preserve">UN </v>
          </cell>
          <cell r="E44">
            <v>1</v>
          </cell>
        </row>
        <row r="45">
          <cell r="B45"/>
          <cell r="C45" t="str">
            <v>BARRACÃO DE OBRA PARA ESCRITÓRIO DA EMPREITEIRA TIPO-I, ÁREA INTERNA 18,15M2, EM CHAPA DE COMPENSADO RESINADO, INCLUSIVE MOBILIÁRIO (OBRA DE PEQUENO A MÉDIO PORTE, EFETIVO ATÉ 60 HOMENS) - PADRÃO DEER-MG</v>
          </cell>
          <cell r="D45" t="str">
            <v xml:space="preserve">UN </v>
          </cell>
          <cell r="E45">
            <v>1</v>
          </cell>
        </row>
        <row r="46">
          <cell r="B46" t="str">
            <v>1.32</v>
          </cell>
          <cell r="C46" t="str">
            <v>EXECUÇÃO DE ALMOXARIFADO EM CANTEIRO DE OBRA EM CHAPA DE MADEIRA COMPENSADA, INCLUSO PRATELEIRAS. AF_02/2016</v>
          </cell>
          <cell r="D46" t="str">
            <v>m²</v>
          </cell>
          <cell r="E46">
            <v>9</v>
          </cell>
        </row>
        <row r="47">
          <cell r="B47" t="str">
            <v>1.33</v>
          </cell>
          <cell r="C47" t="str">
            <v>EXECUÇÃO DE REFEITÓRIO EM CANTEIRO DE OBRA EM CHAPA DE MADEIRA COMPENSADA, NÃO INCLUSO MOBILIÁRIO E EQUIPAMENTOS. AF_02/2016</v>
          </cell>
          <cell r="D47" t="str">
            <v>m²</v>
          </cell>
          <cell r="E47">
            <v>14</v>
          </cell>
        </row>
        <row r="48">
          <cell r="B48" t="str">
            <v>1.34</v>
          </cell>
          <cell r="C48" t="str">
            <v>BARRACÃO DE OBRA PARA INSTALAÇÃO SANITÁRIA TIPO-I, ÁREA INTERNA 14,52M2, EM CHAPA DE COMPENSADO RESINADO (OBRA DE PEQUENO PORTE, EFETIVO ATÉ 30 HOMENS), PADRÃO DEER-MG</v>
          </cell>
          <cell r="D48" t="str">
            <v xml:space="preserve">UN </v>
          </cell>
          <cell r="E48">
            <v>1</v>
          </cell>
        </row>
        <row r="49">
          <cell r="B49" t="str">
            <v>2</v>
          </cell>
          <cell r="C49" t="str">
            <v>REMOÇÕES</v>
          </cell>
          <cell r="D49"/>
          <cell r="E49"/>
        </row>
        <row r="50">
          <cell r="B50" t="str">
            <v>2.1</v>
          </cell>
          <cell r="C50" t="str">
            <v>DEMOLIÇÃO DE PISO CIMENTADO OU CONTRAPISO DE ARGAMASSA ESPESSURA MÁXIMA DE 10CM, INCLUSIVE AFASTAMENTO</v>
          </cell>
          <cell r="D50" t="str">
            <v>m3</v>
          </cell>
          <cell r="E50">
            <v>20</v>
          </cell>
        </row>
        <row r="51">
          <cell r="B51" t="str">
            <v>2.2</v>
          </cell>
          <cell r="C51" t="str">
            <v>REMOÇÃO CUIDADOSA DE REVESTIMENTO SOBRE PAREDE DE ADOBE, PAU A PIQUE E TIJOLO DE BARRO COZIDO</v>
          </cell>
          <cell r="D51" t="str">
            <v>m2</v>
          </cell>
          <cell r="E51">
            <v>240</v>
          </cell>
        </row>
        <row r="52">
          <cell r="B52" t="str">
            <v>2.3</v>
          </cell>
          <cell r="C52" t="str">
            <v>CARGA MANUAL SOBRE CAMINHOES</v>
          </cell>
          <cell r="D52" t="str">
            <v>M3</v>
          </cell>
          <cell r="E52">
            <v>31.8</v>
          </cell>
        </row>
        <row r="53">
          <cell r="B53"/>
          <cell r="C53" t="str">
            <v>TRANSPORTE DE MAT.DE QUALQUER NATUREZA EM CAÇAMBA</v>
          </cell>
          <cell r="D53"/>
          <cell r="E53"/>
        </row>
        <row r="54">
          <cell r="B54" t="str">
            <v>2.4</v>
          </cell>
          <cell r="C54" t="str">
            <v>CAÇAMBA 5m³</v>
          </cell>
          <cell r="D54" t="str">
            <v>VG</v>
          </cell>
          <cell r="E54">
            <v>35</v>
          </cell>
        </row>
        <row r="55">
          <cell r="B55" t="str">
            <v>2.5</v>
          </cell>
          <cell r="C55" t="str">
            <v>DESMONTAGEM DE PISO EM  PEDRA  - REAPROVEITAMENTO MEDIANTE REMOÇÃO,  LIMPEZA, ACONDICIONAMENTO  E RECUPERAÇÃO POSTERIOR DO MOSAICO</v>
          </cell>
          <cell r="D55" t="str">
            <v>M2</v>
          </cell>
          <cell r="E55">
            <v>148</v>
          </cell>
        </row>
        <row r="56">
          <cell r="B56" t="str">
            <v>2.6</v>
          </cell>
          <cell r="C56" t="str">
            <v>DESMONTAGEM DE PAREDE DE ADOBE PARA LIBERAR ESTEIOS- REAPROVEITAMENTO MEDIANTE REMOÇÃO,  LIMPEZA, ACONDICIONAMENTO  PARA RECUPERAÇÃO POSTERIOR DA PAREDE</v>
          </cell>
          <cell r="D56" t="str">
            <v>M2</v>
          </cell>
          <cell r="E56">
            <v>300</v>
          </cell>
        </row>
        <row r="57">
          <cell r="B57" t="str">
            <v>2.7</v>
          </cell>
          <cell r="C57" t="str">
            <v>MAPEAMENTO DESMONTAGEM DE TELHAS  PARA  DIMINUIR PESO NA ESTRUTURA-CALHAS RUFOS E TELHA, RETIRADA DE  CATALOGAÇÃO DA DISTRIBUIÇÃO DAS PEÇAS , ARMAZENAMENTO DE TELHAS E AFINS, TESTES DE RESISTENCIA  REAPROVEITAMENTO MEDIANTE REMOÇÃO,  LIMPEZA, ACONDICIONAMENTO  E RECUPERAÇÃO POSTERIOR DO TELHADO</v>
          </cell>
          <cell r="D57" t="str">
            <v>M2</v>
          </cell>
          <cell r="E57">
            <v>569.24</v>
          </cell>
        </row>
        <row r="58">
          <cell r="B58" t="str">
            <v>2.8</v>
          </cell>
          <cell r="C58" t="str">
            <v>DESMONTAGEM DE FORROS DE ESTEIRA-REAPROVEITAMENTO MEDIANTE REMOÇÃO, LIMPEZA, ACONDICIONAMENTO  E RECUPERAÇÃO POSTERIOR, PODENDO SER GUARDADO EM TIRAS PARA EXPOSIÇÃO</v>
          </cell>
          <cell r="D58" t="str">
            <v>M2</v>
          </cell>
          <cell r="E58">
            <v>419.93</v>
          </cell>
        </row>
        <row r="59">
          <cell r="B59" t="str">
            <v>2.9</v>
          </cell>
          <cell r="C59" t="str">
            <v>MAPEAMENTO DO PORTÃO DA RUA SERRO, REMOÇÃO DAS PEÇAS  , IMUNIZAÇÃO, ACONDICIONAMENTO, RESTAURAÇÃO</v>
          </cell>
          <cell r="D59" t="str">
            <v>UNID</v>
          </cell>
          <cell r="E59">
            <v>1</v>
          </cell>
        </row>
        <row r="60">
          <cell r="B60" t="str">
            <v>2.10</v>
          </cell>
          <cell r="C60" t="str">
            <v>DEMOLIÇÃO DE PARTE DO MURO JÁ PREVISTO EM PROJETO, PARA LIBERAÇÃO DE ENTRADA DE EQUIPAMENTOS</v>
          </cell>
          <cell r="D60" t="str">
            <v>M2</v>
          </cell>
          <cell r="E60">
            <v>15</v>
          </cell>
        </row>
        <row r="61">
          <cell r="B61" t="str">
            <v>2.11</v>
          </cell>
          <cell r="C61" t="str">
            <v>DE REVESTIMENTO ASFALTICO COM EQUIP. PNEUMATICO</v>
          </cell>
          <cell r="D61" t="str">
            <v>M3</v>
          </cell>
          <cell r="E61">
            <v>1</v>
          </cell>
        </row>
        <row r="62">
          <cell r="B62" t="str">
            <v>2.12</v>
          </cell>
          <cell r="C62" t="str">
            <v>REMONTAGEM DE PAREDE DE ADOBE</v>
          </cell>
          <cell r="D62" t="str">
            <v>M2</v>
          </cell>
          <cell r="E62">
            <v>300</v>
          </cell>
        </row>
        <row r="63">
          <cell r="B63"/>
          <cell r="C63" t="str">
            <v>TRANSPORTE DE MATERIAL DEMOLIDO EM CARRINHO DE MAO</v>
          </cell>
          <cell r="D63"/>
          <cell r="E63"/>
        </row>
        <row r="64">
          <cell r="B64" t="str">
            <v>2.13</v>
          </cell>
          <cell r="C64" t="str">
            <v>50,0 M &lt; DMT &lt;= 100,0 M</v>
          </cell>
          <cell r="D64" t="str">
            <v>M3</v>
          </cell>
          <cell r="E64">
            <v>30</v>
          </cell>
        </row>
        <row r="65">
          <cell r="B65" t="str">
            <v>3</v>
          </cell>
          <cell r="C65" t="str">
            <v>ACESSÓRIOS , COBERTURA PROVISÓRIA, ESCADA DE SERVIÇO</v>
          </cell>
          <cell r="D65"/>
          <cell r="E65"/>
        </row>
        <row r="66">
          <cell r="B66" t="str">
            <v>3.1</v>
          </cell>
          <cell r="C66" t="str">
            <v>DEDETIZAÇÃO POR EMPRESA COM EXPERIENCIA COMPROVADA EM SERVIÇOS DE PRÉDIOS  TOMBADOS COMO PATRIMÔNIO HISTÓRICO</v>
          </cell>
          <cell r="D66" t="str">
            <v>M2</v>
          </cell>
          <cell r="E66">
            <v>848.37</v>
          </cell>
        </row>
        <row r="67">
          <cell r="B67" t="str">
            <v>3.2</v>
          </cell>
          <cell r="C67" t="str">
            <v>DEDETIZAÇÃO  E DESRATIZAÇÃO DE AMBIENTE EXTERNO ( PRAÇA JULI, ONDE FICARÁ O CANTEIRO DE OBRAS E DEPÓSITO DE PEÇA MOVIMENTADAS DO MUSEU PARA RESTAURO E GUARDA PROVISÓRIA)</v>
          </cell>
          <cell r="D67" t="str">
            <v>M2</v>
          </cell>
          <cell r="E67">
            <v>1637</v>
          </cell>
        </row>
        <row r="68">
          <cell r="B68" t="str">
            <v>3.3</v>
          </cell>
          <cell r="C68" t="str">
            <v>PROTEÇÃO DE PISO COM LONA PLASTICA, SACO DE RÁFIA E GESSO</v>
          </cell>
          <cell r="D68" t="str">
            <v>M2</v>
          </cell>
          <cell r="E68">
            <v>596.72</v>
          </cell>
        </row>
        <row r="69">
          <cell r="B69" t="str">
            <v>3.4</v>
          </cell>
          <cell r="C69" t="str">
            <v>IMUNIZAÇÃO DE FORROS DE TAQUARA TRANÇADA E DE MADEIRA   EM AMBOS OS LADOS , RETIRANDO LIMPEZA INCLUINDO A REGIÃO SUPERIOR POR PASSAGEM NO TELHADO E SEM DESMONTAGEM DO FORRO, INCLUSIVE O DO CORREDOR ( SACADA ) .</v>
          </cell>
          <cell r="D69" t="str">
            <v>M2</v>
          </cell>
          <cell r="E69">
            <v>283</v>
          </cell>
        </row>
        <row r="70">
          <cell r="B70" t="str">
            <v>3.5</v>
          </cell>
          <cell r="C70" t="str">
            <v>DESMONTAGEM DE PISOS DE MADEIRA , RETIRANDO LIMPANDO, CATALOGANDO E ARMAZENANDO  .</v>
          </cell>
          <cell r="D70" t="str">
            <v>M2</v>
          </cell>
          <cell r="E70">
            <v>150</v>
          </cell>
        </row>
        <row r="71">
          <cell r="B71" t="str">
            <v>3.6</v>
          </cell>
          <cell r="C71" t="str">
            <v>DESMONTAGEM DE ESCADA DE MADEIRA, RETIRANDO LIMPANDO, CATALOGANDO E ARMAZENANDO  .</v>
          </cell>
          <cell r="D71" t="str">
            <v>UNID</v>
          </cell>
          <cell r="E71">
            <v>1</v>
          </cell>
        </row>
        <row r="72">
          <cell r="B72" t="str">
            <v>3.7</v>
          </cell>
          <cell r="C72" t="str">
            <v>DESMONTAGEM DE LAMBREQUINS, RETIRANDO LIMPANDO, CATALOGANDO E ARMAZENANDO  .</v>
          </cell>
          <cell r="D72" t="str">
            <v>M</v>
          </cell>
          <cell r="E72">
            <v>20</v>
          </cell>
        </row>
        <row r="73">
          <cell r="B73" t="str">
            <v>3.8</v>
          </cell>
          <cell r="C73" t="str">
            <v>Cadastro fotográfico  (DIGITAL)de peças  de madeira a serem desmontadas e retiradas para restauro, etiquetagem e mapeamento da posição e  guarda segura bem acondicionadas, DE TODO O MUSEU</v>
          </cell>
          <cell r="D73" t="str">
            <v>UNID</v>
          </cell>
          <cell r="E73">
            <v>300</v>
          </cell>
        </row>
        <row r="74">
          <cell r="B74"/>
          <cell r="C74" t="str">
            <v xml:space="preserve">COBERTURA PROVISÓRIA </v>
          </cell>
          <cell r="D74"/>
          <cell r="E74"/>
        </row>
        <row r="75">
          <cell r="B75" t="str">
            <v>3.9</v>
          </cell>
          <cell r="C75" t="str">
            <v>GRADEADO DE MADEIRA PROVISÓRIO ELEVADO PARA SUSTENTAÇÃO DE LONA CONTRA CHUVAS E DO MADEIRITE DE ENVELOPAMENTO DE FORROS</v>
          </cell>
          <cell r="D75" t="str">
            <v>M2</v>
          </cell>
          <cell r="E75">
            <v>800</v>
          </cell>
        </row>
        <row r="76">
          <cell r="B76" t="str">
            <v>3.10</v>
          </cell>
          <cell r="C76" t="str">
            <v xml:space="preserve">LONA PLÁSTICA COBERTURA PROVISÓRIA CONTRA CHUVAS </v>
          </cell>
          <cell r="D76" t="str">
            <v>M2</v>
          </cell>
          <cell r="E76">
            <v>800</v>
          </cell>
        </row>
        <row r="77">
          <cell r="B77" t="str">
            <v>3.11</v>
          </cell>
          <cell r="C77" t="str">
            <v xml:space="preserve">FORMA DE MADEIRA  PROTEÇÃO DOS FORROS, PRESOS E SUSTENTADOS NO PISO E NO ENGRADAMENTO DA COBERTURA PROVISÓRIA, INCLUSIVE ESPUMA PARA CALÇAR SUAVEMENTE </v>
          </cell>
          <cell r="D77" t="str">
            <v>M2</v>
          </cell>
          <cell r="E77">
            <v>149.31</v>
          </cell>
        </row>
        <row r="78">
          <cell r="B78" t="str">
            <v>3.12</v>
          </cell>
          <cell r="C78" t="str">
            <v>COBERTURA PARA PROTEÇÃO DE PEDESTRES SOBRE ESTRUTURA DE ANDAIME, INCLUSIVE MONTAGEM E DESMONTAGEM. AF_11/2017</v>
          </cell>
          <cell r="D78" t="str">
            <v>M2</v>
          </cell>
          <cell r="E78">
            <v>82.5</v>
          </cell>
        </row>
        <row r="79">
          <cell r="B79" t="str">
            <v>3.13</v>
          </cell>
          <cell r="C79" t="str">
            <v>TELA DE PROTEÇÃO DE FACHADA INSTALADA EM ANDAIME FACHADEIRO</v>
          </cell>
          <cell r="D79" t="str">
            <v>M2</v>
          </cell>
          <cell r="E79">
            <v>1147</v>
          </cell>
        </row>
        <row r="80">
          <cell r="B80" t="str">
            <v>4</v>
          </cell>
          <cell r="C80" t="str">
            <v xml:space="preserve">MOVIMENTO DE TERRAS </v>
          </cell>
          <cell r="D80"/>
          <cell r="E80"/>
        </row>
        <row r="81">
          <cell r="B81"/>
          <cell r="C81" t="str">
            <v>MOVIMENTO DE TERRA</v>
          </cell>
          <cell r="D81"/>
          <cell r="E81"/>
        </row>
        <row r="82">
          <cell r="B82" t="str">
            <v>4.1</v>
          </cell>
          <cell r="C82" t="str">
            <v>ESCAVACAO MANUAL H &lt;= 1.5M</v>
          </cell>
          <cell r="D82" t="str">
            <v>M³</v>
          </cell>
          <cell r="E82">
            <v>60</v>
          </cell>
        </row>
        <row r="83">
          <cell r="B83"/>
          <cell r="C83" t="str">
            <v>ATERRO COMPACTADO</v>
          </cell>
          <cell r="D83"/>
          <cell r="E83"/>
        </row>
        <row r="84">
          <cell r="B84" t="str">
            <v>4.2</v>
          </cell>
          <cell r="C84" t="str">
            <v>MANUAL, COM SOQUETE</v>
          </cell>
          <cell r="D84" t="str">
            <v>M³</v>
          </cell>
          <cell r="E84">
            <v>50</v>
          </cell>
        </row>
        <row r="85">
          <cell r="B85" t="str">
            <v>5</v>
          </cell>
          <cell r="C85" t="str">
            <v xml:space="preserve">INFRA-ESTRUTURA: FUNDAÇÕES </v>
          </cell>
          <cell r="D85"/>
          <cell r="E85"/>
        </row>
        <row r="86">
          <cell r="B86" t="str">
            <v>5.1</v>
          </cell>
          <cell r="C86" t="str">
            <v>CONCRETO MAGRO, TRAÇO 1:3:6, PREPARADO EM OBRA COM BETONEIRA, SEM FUNÇÃO ESTRUTURAL</v>
          </cell>
          <cell r="D86" t="str">
            <v>M3</v>
          </cell>
          <cell r="E86">
            <v>8.6384000000000007</v>
          </cell>
        </row>
        <row r="87">
          <cell r="B87"/>
          <cell r="C87" t="str">
            <v>FORMA, ESCORAMENTO, DESFORMA E LIMPEZA EM FUNDAÇAO</v>
          </cell>
          <cell r="D87"/>
          <cell r="E87"/>
        </row>
        <row r="88">
          <cell r="B88" t="str">
            <v>5.2</v>
          </cell>
          <cell r="C88" t="str">
            <v>DE COMPENSADO RESINADO ESPESSURA MINIMA &gt;= 12MM</v>
          </cell>
          <cell r="D88" t="str">
            <v>M2</v>
          </cell>
          <cell r="E88">
            <v>18</v>
          </cell>
        </row>
        <row r="89">
          <cell r="B89"/>
          <cell r="C89" t="str">
            <v>ARMAÇAO INCL. CORTE, DOBRA E COLOCAÇAO EM FUNDAÇAO</v>
          </cell>
          <cell r="D89"/>
          <cell r="E89"/>
        </row>
        <row r="90">
          <cell r="B90" t="str">
            <v>5.3</v>
          </cell>
          <cell r="C90" t="str">
            <v>AÇO CA-50    D &lt;= 12,5 MM</v>
          </cell>
          <cell r="D90" t="str">
            <v>KG</v>
          </cell>
          <cell r="E90">
            <v>1400</v>
          </cell>
        </row>
        <row r="91">
          <cell r="B91"/>
          <cell r="C91" t="str">
            <v>CONCRETO CONVENCIONAL B1,B2 LANÇADO EM FUNDAÇAO</v>
          </cell>
          <cell r="D91"/>
          <cell r="E91"/>
        </row>
        <row r="92">
          <cell r="B92" t="str">
            <v>5.4</v>
          </cell>
          <cell r="C92" t="str">
            <v>FCK &gt;= 25,0 MPa, BRITA CALCAREA</v>
          </cell>
          <cell r="D92" t="str">
            <v>M3</v>
          </cell>
          <cell r="E92">
            <v>14</v>
          </cell>
        </row>
        <row r="93">
          <cell r="B93" t="str">
            <v>5.5</v>
          </cell>
          <cell r="C93" t="str">
            <v>ADITIVO IMPERMEABILIZANTE DE PEGA NORMAL PARA ARGAMASSAS E CONCRETOS SEM ARMACAO, LIQUIDO E ISENTO DE CLORETOS</v>
          </cell>
          <cell r="D93" t="str">
            <v>L</v>
          </cell>
          <cell r="E93">
            <v>28</v>
          </cell>
        </row>
        <row r="94">
          <cell r="B94" t="str">
            <v>5.5</v>
          </cell>
          <cell r="C94" t="str">
            <v>MOBILIZAÇÃO E DESMOBILIZAÇÃO POR EQUIPAMENTO DE SONDAGEM A PERCUSSÃO D = 2 1/2"</v>
          </cell>
          <cell r="D94" t="str">
            <v>UNID</v>
          </cell>
          <cell r="E94">
            <v>1</v>
          </cell>
        </row>
        <row r="95">
          <cell r="B95" t="str">
            <v>5.6</v>
          </cell>
          <cell r="C95" t="str">
            <v>SONDAGEM A PERCUSSÃO D = 2 1/2" COM MEDIDA DE SPT (FATURAMENTO MÍNIMO = 30 M)</v>
          </cell>
          <cell r="D95" t="str">
            <v>M</v>
          </cell>
          <cell r="E95">
            <v>60</v>
          </cell>
        </row>
        <row r="96">
          <cell r="B96" t="str">
            <v>6</v>
          </cell>
          <cell r="C96" t="str">
            <v xml:space="preserve">ESTRUTURAL ESTEIOS E ESCADA </v>
          </cell>
          <cell r="D96"/>
          <cell r="E96"/>
        </row>
        <row r="97">
          <cell r="B97" t="str">
            <v>6.1</v>
          </cell>
          <cell r="C97" t="str">
            <v>SUSTENTAÇÃO RÍGIDA DE ESTEIOS COM ESCORAMENTO METÁLICO PARA AMPARAR A ESTRUTURA PERMITINDO A LIBERAÇÃO PARA  SUBSTITUIÇÃO DOS NABOS; RECORTE DE PARTES DANIFICADAS;  SUBSTITUIÇÃO  ESTRUTURAL E ESTÉTICA DE REGIÃO DANIFICADA DO ESTEIO COM ACOMPAMHAMENTO TÉCNICO ESPECIALIZADO</v>
          </cell>
          <cell r="D97" t="str">
            <v>UN</v>
          </cell>
          <cell r="E97">
            <v>30</v>
          </cell>
        </row>
        <row r="98">
          <cell r="B98" t="str">
            <v>6.2</v>
          </cell>
          <cell r="C98" t="str">
            <v>CHAPA DE AÇO ESPESSURA 1/2  , " GALVANIZAÇÃO A FOGO PARA FIXAÇÃO E REFORÇO DE ESTEIOS , LIGAÇÃO ENTRE ESTEIOS E VIGAS E FIXAÇÃO MADEIRAS DO DECK( DET PROJETO ESTRUTURAL)</v>
          </cell>
          <cell r="D98" t="str">
            <v>M2</v>
          </cell>
          <cell r="E98">
            <v>24</v>
          </cell>
        </row>
        <row r="99">
          <cell r="B99" t="str">
            <v>6.3</v>
          </cell>
          <cell r="C99" t="str">
            <v>PARAFUSO GALVANIZADO ROSCA TOTAL, DIAM 1/2 "</v>
          </cell>
          <cell r="D99" t="str">
            <v>M</v>
          </cell>
          <cell r="E99">
            <v>32</v>
          </cell>
        </row>
        <row r="100">
          <cell r="B100" t="str">
            <v>6.4</v>
          </cell>
          <cell r="C100" t="str">
            <v>PORCA SEXTAVADA GALVANIZADA DIAM 1/2"</v>
          </cell>
          <cell r="D100" t="str">
            <v>UNID</v>
          </cell>
          <cell r="E100">
            <v>400</v>
          </cell>
        </row>
        <row r="101">
          <cell r="B101" t="str">
            <v>6.5</v>
          </cell>
          <cell r="C101" t="str">
            <v>FORNECIMENTO E APLICAÇÃO DE ENXERTO DE MADEIRA COM ACOMPANHAMENTO TÉCNICO</v>
          </cell>
          <cell r="D101" t="str">
            <v>DM3</v>
          </cell>
          <cell r="E101">
            <v>5000</v>
          </cell>
        </row>
        <row r="102">
          <cell r="B102" t="str">
            <v>6.6</v>
          </cell>
          <cell r="C102" t="str">
            <v xml:space="preserve">ESTEIO OU ESTRUTURA DO TELHADO DE MADEIRA DE LEI, CEDRO , IMBUIA OU EQUIVALENTE TÉCNICO 25x25 X 7,5 m OU DEMAIS SEÇÕES </v>
          </cell>
          <cell r="D102" t="str">
            <v>M3</v>
          </cell>
          <cell r="E102">
            <v>26</v>
          </cell>
        </row>
        <row r="103">
          <cell r="B103" t="str">
            <v>6.7</v>
          </cell>
          <cell r="C103" t="str">
            <v>CORDÃO DE SILICONE PARA VEDAÇÃO DE ESTEIO E SAPATA DE CONCRETO</v>
          </cell>
          <cell r="D103" t="str">
            <v>M</v>
          </cell>
          <cell r="E103">
            <v>65</v>
          </cell>
        </row>
        <row r="104">
          <cell r="B104" t="str">
            <v>6.8</v>
          </cell>
          <cell r="C104" t="str">
            <v>imunização peças do telhado  , incluindo a quantidade da planilha de peças de maior seção e o novo engradamento</v>
          </cell>
          <cell r="D104" t="str">
            <v>M2</v>
          </cell>
          <cell r="E104">
            <v>1028</v>
          </cell>
        </row>
        <row r="105">
          <cell r="B105" t="str">
            <v>6.9</v>
          </cell>
          <cell r="C105" t="str">
            <v>EXECUÇÃO DE PASSEIO (CALÇADA) OU PISO DE CONCRETO COM CONCRETO MOLDADO IN LOCO, FEITO EM OBRA, ACABAMENTO CONVENCIONAL, ESPESSURA 10 CM, ARMADO. AF_07/2016</v>
          </cell>
          <cell r="D105" t="str">
            <v>M2</v>
          </cell>
          <cell r="E105">
            <v>10</v>
          </cell>
        </row>
        <row r="106">
          <cell r="B106"/>
          <cell r="C106" t="str">
            <v>ENGRADAMENTO EM MADEIRA PARAJU</v>
          </cell>
          <cell r="D106"/>
          <cell r="E106"/>
        </row>
        <row r="107">
          <cell r="B107" t="str">
            <v>6.10</v>
          </cell>
          <cell r="C107" t="str">
            <v>PARA COBERTURA CERAMICA, CAIBROS E RIPAS</v>
          </cell>
          <cell r="D107" t="str">
            <v>M2</v>
          </cell>
          <cell r="E107">
            <v>569.24</v>
          </cell>
        </row>
        <row r="108">
          <cell r="B108" t="str">
            <v>6.11</v>
          </cell>
          <cell r="C108" t="str">
            <v>TRATAMENTO DE FISSURAS DE PEÇAS</v>
          </cell>
          <cell r="D108" t="str">
            <v>M2</v>
          </cell>
          <cell r="E108">
            <v>30</v>
          </cell>
        </row>
        <row r="109">
          <cell r="B109" t="str">
            <v>6.12</v>
          </cell>
          <cell r="C109" t="str">
            <v>MANTA ISOLANTE PARA TELHADOS</v>
          </cell>
          <cell r="D109" t="str">
            <v>M2</v>
          </cell>
          <cell r="E109">
            <v>569</v>
          </cell>
        </row>
        <row r="110">
          <cell r="B110" t="str">
            <v>6.13</v>
          </cell>
          <cell r="C110" t="str">
            <v xml:space="preserve">EMBOCAMENTO ( MASSA REJUNTANDO TELHAS NO FINAL DA CORRIDA DE ÁGUA) E NAS CUMIEIRAS </v>
          </cell>
          <cell r="D110" t="str">
            <v>M</v>
          </cell>
          <cell r="E110">
            <v>250</v>
          </cell>
        </row>
        <row r="111">
          <cell r="B111" t="str">
            <v>7</v>
          </cell>
          <cell r="C111" t="str">
            <v>TABUADOS E ACESSÓRIOS DE MADEIRA PARA ESTRUTURA DEFINITIVA DO TELHADO</v>
          </cell>
          <cell r="D111"/>
          <cell r="E111"/>
        </row>
        <row r="112">
          <cell r="B112" t="str">
            <v>7.1</v>
          </cell>
          <cell r="C112" t="str">
            <v>CONFERENCIA DE PEÇAS DE MADEIRA DO TELHADO( TESTE DE RESISTENCIA)  DESCUPINIZAÇÃO.</v>
          </cell>
          <cell r="D112" t="str">
            <v>M2</v>
          </cell>
          <cell r="E112">
            <v>569.24</v>
          </cell>
        </row>
        <row r="113">
          <cell r="B113" t="str">
            <v>7.2</v>
          </cell>
          <cell r="C113" t="str">
            <v>FORNECIMENTO DE COMPLEMENTO DE MADEIRA DO TELHADO COM PEÇAS DE DIMENSÕES E MATERIAL SIMILAR OU IDENTICO, APLICADO CUPINICIDA</v>
          </cell>
          <cell r="D113" t="str">
            <v>M3</v>
          </cell>
          <cell r="E113">
            <v>26.23</v>
          </cell>
        </row>
        <row r="114">
          <cell r="B114" t="str">
            <v>7.3</v>
          </cell>
          <cell r="C114" t="str">
            <v>REFAZIMENTO DO TELHADO COM RETORNO DE TELHAS E AFINS, RECUPERADOS</v>
          </cell>
          <cell r="D114" t="str">
            <v>M2</v>
          </cell>
          <cell r="E114">
            <v>284.62</v>
          </cell>
        </row>
        <row r="115">
          <cell r="B115" t="str">
            <v>7.4</v>
          </cell>
          <cell r="C115" t="str">
            <v>COMPLEMENTAÇÃO COM TELHAS PRODUZIDA ARTEZANALMENTE IGUAIS AS EXISTENTES , COMPLEMENTANDO AS QUE FORAM QUEBRADAS</v>
          </cell>
          <cell r="D115" t="str">
            <v>M2</v>
          </cell>
          <cell r="E115">
            <v>284.62</v>
          </cell>
        </row>
        <row r="116">
          <cell r="B116" t="str">
            <v>7.5</v>
          </cell>
          <cell r="C116" t="str">
            <v>TROCA D CALHAS E RUFOS NÃO SERVÍVEIS ( RISCO DE VAZAMENTOS FUTUROS)</v>
          </cell>
          <cell r="D116" t="str">
            <v>M</v>
          </cell>
          <cell r="E116">
            <v>120</v>
          </cell>
        </row>
        <row r="117">
          <cell r="B117" t="str">
            <v>7.6</v>
          </cell>
          <cell r="C117" t="str">
            <v>AMARRAÇÃO DE TELHAS CERÂMICAS OU DE CONCRETO. AF_07/2019</v>
          </cell>
          <cell r="D117" t="str">
            <v>UN</v>
          </cell>
          <cell r="E117">
            <v>9107.84</v>
          </cell>
        </row>
        <row r="118">
          <cell r="B118" t="str">
            <v>8</v>
          </cell>
          <cell r="C118" t="str">
            <v>ACOMPANHAMENTO TÉCNICO E ARTÍSTICO</v>
          </cell>
          <cell r="D118"/>
          <cell r="E118"/>
        </row>
        <row r="119">
          <cell r="B119" t="str">
            <v>8.1</v>
          </cell>
          <cell r="C119" t="str">
            <v>ARQUITETO SENIOR (MENSALISTA)</v>
          </cell>
          <cell r="D119" t="str">
            <v xml:space="preserve">MES </v>
          </cell>
          <cell r="E119">
            <v>6</v>
          </cell>
        </row>
        <row r="120">
          <cell r="B120" t="str">
            <v>8.2</v>
          </cell>
          <cell r="C120" t="str">
            <v>ENGENHEIRO CIVIL SENIOR (MENSALISTA)</v>
          </cell>
          <cell r="D120" t="str">
            <v>MÊS</v>
          </cell>
          <cell r="E120">
            <v>6</v>
          </cell>
        </row>
        <row r="121">
          <cell r="B121" t="str">
            <v>8.3</v>
          </cell>
          <cell r="C121" t="str">
            <v>MESTRE DE OBRAS DE RESTAURO</v>
          </cell>
          <cell r="D121" t="str">
            <v>MÊS</v>
          </cell>
          <cell r="E121">
            <v>6</v>
          </cell>
        </row>
        <row r="122">
          <cell r="B122" t="str">
            <v>8.4</v>
          </cell>
          <cell r="C122" t="str">
            <v xml:space="preserve">AS BUILT DE PROJETOS EXECUTADOS </v>
          </cell>
          <cell r="D122" t="str">
            <v>UNID</v>
          </cell>
          <cell r="E122">
            <v>1</v>
          </cell>
        </row>
        <row r="123">
          <cell r="B123" t="str">
            <v>8.6</v>
          </cell>
          <cell r="C123" t="str">
            <v>LIMPEZA FINAL PARA ENTREGA DA OBRA</v>
          </cell>
          <cell r="D123" t="str">
            <v>M2</v>
          </cell>
          <cell r="E123">
            <v>848.37</v>
          </cell>
        </row>
        <row r="124">
          <cell r="B124" t="str">
            <v>8.7</v>
          </cell>
          <cell r="C124" t="str">
            <v>ESTUDO E LAUDO DE IMPACTO SOBRE A VIZINHANÇA</v>
          </cell>
          <cell r="D124" t="str">
            <v>UNID</v>
          </cell>
          <cell r="E124">
            <v>1</v>
          </cell>
        </row>
        <row r="125">
          <cell r="B125" t="str">
            <v>9</v>
          </cell>
          <cell r="C125" t="str">
            <v>ADMINISTRAÇÃO LOCAL</v>
          </cell>
          <cell r="D125"/>
          <cell r="E125"/>
        </row>
        <row r="126">
          <cell r="B126" t="str">
            <v>9.1</v>
          </cell>
          <cell r="C126" t="str">
            <v>CONFORME ACÓRDÃO TCU 2622/2013, LIMITADA À 5% DO VALOR TOTAL DA OBRA</v>
          </cell>
          <cell r="D126" t="str">
            <v>UND</v>
          </cell>
          <cell r="E126">
            <v>1</v>
          </cell>
        </row>
      </sheetData>
      <sheetData sheetId="3">
        <row r="1722">
          <cell r="K1722">
            <v>569.24</v>
          </cell>
        </row>
        <row r="1954">
          <cell r="K1954">
            <v>760.13</v>
          </cell>
        </row>
      </sheetData>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BM GERAL"/>
      <sheetName val="BM DETALHADO"/>
      <sheetName val="MEMÓRIA DE CÁLCULO"/>
      <sheetName val="RELAT. FOTOG."/>
    </sheetNames>
    <sheetDataSet>
      <sheetData sheetId="0"/>
      <sheetData sheetId="1"/>
      <sheetData sheetId="2"/>
      <sheetData sheetId="3">
        <row r="266">
          <cell r="K266">
            <v>6117.3333333333339</v>
          </cell>
        </row>
        <row r="289">
          <cell r="K289">
            <v>1138.3077777777778</v>
          </cell>
        </row>
        <row r="310">
          <cell r="K310">
            <v>1146.9978333333333</v>
          </cell>
        </row>
        <row r="334">
          <cell r="K334">
            <v>892.10777777777776</v>
          </cell>
        </row>
        <row r="376">
          <cell r="K376">
            <v>1199.9978333333333</v>
          </cell>
        </row>
        <row r="419">
          <cell r="K419">
            <v>4320</v>
          </cell>
        </row>
        <row r="441">
          <cell r="K441">
            <v>199.99759999999998</v>
          </cell>
        </row>
        <row r="487">
          <cell r="K487">
            <v>12</v>
          </cell>
        </row>
        <row r="532">
          <cell r="K532">
            <v>329.81</v>
          </cell>
        </row>
        <row r="690">
          <cell r="K690">
            <v>18.2329936</v>
          </cell>
        </row>
        <row r="721">
          <cell r="K721">
            <v>52.358199999999997</v>
          </cell>
        </row>
        <row r="732">
          <cell r="K732">
            <v>292.05930000000001</v>
          </cell>
        </row>
        <row r="833">
          <cell r="K833">
            <v>49.098199999999999</v>
          </cell>
        </row>
        <row r="1046">
          <cell r="K1046">
            <v>441.36500000000001</v>
          </cell>
        </row>
        <row r="1067">
          <cell r="K1067">
            <v>478.98500000000001</v>
          </cell>
        </row>
        <row r="1197">
          <cell r="K1197">
            <v>1.48</v>
          </cell>
        </row>
        <row r="1285">
          <cell r="K1285">
            <v>23.105615</v>
          </cell>
        </row>
        <row r="1412">
          <cell r="L1412">
            <v>32</v>
          </cell>
        </row>
        <row r="1435">
          <cell r="L1435">
            <v>400</v>
          </cell>
        </row>
        <row r="1479">
          <cell r="K1479">
            <v>3.3241206293999999</v>
          </cell>
        </row>
        <row r="1500">
          <cell r="K1500">
            <v>42.839999999999996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P"/>
      <sheetName val="QIF"/>
      <sheetName val="Ficha quantitativos"/>
      <sheetName val="Resumo Financeiro"/>
      <sheetName val="Transp.Loc.Cam.Basc.5m³l "/>
      <sheetName val="Transp.Loc. Mat. Rem. "/>
      <sheetName val="Transp.Loc.Cam.Carr.4T"/>
      <sheetName val="Transp.Local de Mat.Betum."/>
      <sheetName val="Transp.Local de Agua"/>
      <sheetName val="Mat. Betuminosos"/>
      <sheetName val="dados físicos"/>
      <sheetName val="Gráfic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960887"/>
    </sheetNames>
    <definedNames>
      <definedName name="PassaExtenso"/>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1"/>
      <sheetName val="Gráf2"/>
      <sheetName val="Gráf3"/>
      <sheetName val="Gráf4"/>
      <sheetName val="Viga Benkellman"/>
      <sheetName val="Estudo Estatístico"/>
      <sheetName val="Pro - 10 norma A"/>
      <sheetName val="Pró - 11 norma B"/>
      <sheetName val="Resumo subtrechos homgêneos"/>
      <sheetName val="Demonstrativo Dimensionamento"/>
      <sheetName val="Camadas Mat. Distintos"/>
      <sheetName val="PRO-08"/>
      <sheetName val="ANALISES"/>
      <sheetName val="CRON.NOVO.ARIPUANA"/>
      <sheetName val="Custo do CM-30"/>
      <sheetName val="Cálculo"/>
      <sheetName val="Quadro + Gráfico"/>
      <sheetName val="Viga_Benkellman"/>
      <sheetName val="Conc 20"/>
      <sheetName val="memória de calculo_liquida"/>
      <sheetName val="Preços"/>
      <sheetName val="Desp. Apoio"/>
      <sheetName val="Proposta"/>
      <sheetName val="Carimbo de Nota"/>
      <sheetName val="Fresagem de Pista Ago-98"/>
      <sheetName val="P3"/>
      <sheetName val="PLANILHA ATUALIZADA"/>
      <sheetName val="Auxiliar"/>
      <sheetName val="Estudo_Estatístico"/>
      <sheetName val="Pro_-_10_norma_A"/>
      <sheetName val="Pró_-_11_norma_B"/>
      <sheetName val="Resumo_subtrechos_homgêneos"/>
      <sheetName val="Demonstrativo_Dimensionamento"/>
      <sheetName val="Camadas_Mat__Distintos"/>
      <sheetName val="Custo_do_CM-30"/>
      <sheetName val="memória_de_calculo_liquida"/>
      <sheetName val="Quadro_+_Gráfico"/>
      <sheetName val="Desp__Apoio"/>
      <sheetName val="Tela"/>
      <sheetName val="Atualizacao"/>
      <sheetName val="Chuvas"/>
      <sheetName val="Medição"/>
      <sheetName val="COMPOS1"/>
      <sheetName val="RELATA"/>
      <sheetName val="PRO_08"/>
      <sheetName val="CAPA"/>
      <sheetName val="SUMÁRIO GERAL"/>
      <sheetName val="DIVISÓRIAS"/>
      <sheetName val="CAPA CD"/>
      <sheetName val="CABEÇALHO-RODAPÉ"/>
      <sheetName val="ABC"/>
      <sheetName val="ORÇAMENTO"/>
      <sheetName val="MEMÓRIA"/>
      <sheetName val="CRONOGRAMA"/>
      <sheetName val="BDI"/>
      <sheetName val="Encargos Sociais"/>
      <sheetName val="CPU"/>
      <sheetName val="Quadro Bueiros"/>
      <sheetName val="MP CUB"/>
      <sheetName val="Plan1"/>
      <sheetName val="CBR Jazida"/>
      <sheetName val="JAZIDAS"/>
      <sheetName val="plan"/>
      <sheetName val="Plan2"/>
      <sheetName val="RESUMO_AUT1"/>
      <sheetName val="Custo da Imprimação"/>
      <sheetName val="Custo da Pintura de Ligaçã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o básico referencial"/>
      <sheetName val="Dimensiona equipam + pessoal"/>
      <sheetName val="Equipamentos"/>
    </sheetNames>
    <sheetDataSet>
      <sheetData sheetId="0"/>
      <sheetData sheetId="1" refreshError="1"/>
      <sheetData sheetId="2">
        <row r="3">
          <cell r="B3" t="str">
            <v>001</v>
          </cell>
          <cell r="C3" t="str">
            <v>TRATOR DE EST C/LAM D4E-PS/4A</v>
          </cell>
        </row>
        <row r="4">
          <cell r="B4" t="str">
            <v>002</v>
          </cell>
          <cell r="C4" t="str">
            <v>TRATOR DE ESTEIRAS C/ LAM D6D</v>
          </cell>
        </row>
        <row r="5">
          <cell r="B5" t="str">
            <v>003</v>
          </cell>
          <cell r="C5" t="str">
            <v>TRATOR DE ESTEIRAS C/ LAM D8R</v>
          </cell>
        </row>
        <row r="6">
          <cell r="B6" t="str">
            <v>006</v>
          </cell>
          <cell r="C6" t="str">
            <v>MOTONIVELADORA 105 A 130HP</v>
          </cell>
        </row>
        <row r="7">
          <cell r="B7" t="str">
            <v>007</v>
          </cell>
          <cell r="C7" t="str">
            <v>TRATOR DE PNEUS - 115 HP</v>
          </cell>
        </row>
        <row r="8">
          <cell r="B8" t="str">
            <v>008</v>
          </cell>
          <cell r="C8" t="str">
            <v>RETROESCAVADEIRA</v>
          </cell>
        </row>
        <row r="9">
          <cell r="B9" t="str">
            <v>009</v>
          </cell>
          <cell r="C9" t="str">
            <v>RECICLADORA WR250 (FRIO)</v>
          </cell>
        </row>
        <row r="10">
          <cell r="B10" t="str">
            <v>010</v>
          </cell>
          <cell r="C10" t="str">
            <v>CARREGADEIRA DE PNEUS - 3,1 M3</v>
          </cell>
        </row>
        <row r="11">
          <cell r="B11" t="str">
            <v>013</v>
          </cell>
          <cell r="C11" t="str">
            <v>ROLO COMPACT. - CA-25 AUTOP. 11,25T</v>
          </cell>
        </row>
        <row r="12">
          <cell r="B12" t="str">
            <v>016</v>
          </cell>
          <cell r="C12" t="str">
            <v>CARREGADEIRA DE PNEUS - 1,33 M3</v>
          </cell>
        </row>
        <row r="13">
          <cell r="B13" t="str">
            <v>101</v>
          </cell>
          <cell r="C13" t="str">
            <v>GRADE DE DISCO</v>
          </cell>
        </row>
        <row r="14">
          <cell r="B14" t="str">
            <v>102</v>
          </cell>
          <cell r="C14" t="str">
            <v>ROLO COMPACT. TANDEN  AUTOP. 10,9T</v>
          </cell>
        </row>
        <row r="15">
          <cell r="B15" t="str">
            <v>105</v>
          </cell>
          <cell r="C15" t="str">
            <v>ROLO COMPACTADOR PNEUS AUTOPROP. 21T</v>
          </cell>
        </row>
        <row r="16">
          <cell r="B16" t="str">
            <v>107</v>
          </cell>
          <cell r="C16" t="str">
            <v>VASSOURA MECÂNICA REBOCÁVEL</v>
          </cell>
        </row>
        <row r="17">
          <cell r="B17" t="str">
            <v>108</v>
          </cell>
          <cell r="C17" t="str">
            <v>DISTR. DE AGREGADOS - REBOCÁVEL</v>
          </cell>
        </row>
        <row r="18">
          <cell r="B18" t="str">
            <v>110</v>
          </cell>
          <cell r="C18" t="str">
            <v>TANQUE DE ESTOCAGEM DE ASFALTO 20.000L</v>
          </cell>
        </row>
        <row r="19">
          <cell r="B19" t="str">
            <v>111</v>
          </cell>
          <cell r="C19" t="str">
            <v xml:space="preserve">CAMINHÃO DISTRIBUIDOR DE ASFALTO </v>
          </cell>
        </row>
        <row r="20">
          <cell r="B20" t="str">
            <v>112</v>
          </cell>
          <cell r="C20" t="str">
            <v>AQUECEDOR DE FLUIDO TÉRMICO</v>
          </cell>
        </row>
        <row r="21">
          <cell r="B21" t="str">
            <v>114</v>
          </cell>
          <cell r="C21" t="str">
            <v>VIBROACABADORA DE ASFALTO</v>
          </cell>
        </row>
        <row r="22">
          <cell r="B22" t="str">
            <v>116</v>
          </cell>
          <cell r="C22" t="str">
            <v>USINA PRE-MIST. A FRIO 30/60 T/H</v>
          </cell>
        </row>
        <row r="23">
          <cell r="B23" t="str">
            <v>122</v>
          </cell>
          <cell r="C23" t="str">
            <v>CAMINHÃO C/ EQUIP. LAMA ASFALTICA</v>
          </cell>
        </row>
        <row r="24">
          <cell r="B24" t="str">
            <v>126</v>
          </cell>
          <cell r="C24" t="str">
            <v>FRESADORA A FRIO</v>
          </cell>
        </row>
        <row r="25">
          <cell r="B25" t="str">
            <v>138</v>
          </cell>
          <cell r="C25" t="str">
            <v>ESTAB/RECICLADORA A FRIO</v>
          </cell>
        </row>
        <row r="26">
          <cell r="B26" t="str">
            <v>146</v>
          </cell>
          <cell r="C26" t="str">
            <v>CONJUNTO BRITAGEM 30 M3/H</v>
          </cell>
        </row>
        <row r="27">
          <cell r="B27" t="str">
            <v>147</v>
          </cell>
          <cell r="C27" t="str">
            <v>USINA DE ASFALTO A QUENTE - 90/120 T/H</v>
          </cell>
        </row>
        <row r="28">
          <cell r="B28" t="str">
            <v>148</v>
          </cell>
          <cell r="C28" t="str">
            <v>CALDEIRA DE ASFALTO 500 L</v>
          </cell>
        </row>
        <row r="29">
          <cell r="B29" t="str">
            <v>149</v>
          </cell>
          <cell r="C29" t="str">
            <v>VIBROACABADORA S/ ESTEIRAS 98 HP</v>
          </cell>
        </row>
        <row r="30">
          <cell r="B30" t="str">
            <v>156</v>
          </cell>
          <cell r="C30" t="str">
            <v>TRATOR UNILOADER C/ VASSOURA</v>
          </cell>
        </row>
        <row r="31">
          <cell r="B31" t="str">
            <v>201</v>
          </cell>
          <cell r="C31" t="str">
            <v>COMPRESSOR DE AR  180 PCM</v>
          </cell>
        </row>
        <row r="32">
          <cell r="B32" t="str">
            <v>204</v>
          </cell>
          <cell r="C32" t="str">
            <v xml:space="preserve">PERFURATRIZ MANUAL </v>
          </cell>
        </row>
        <row r="33">
          <cell r="B33" t="str">
            <v>209</v>
          </cell>
          <cell r="C33" t="str">
            <v>MARTELO PERFURADOR/ROMPEDOR</v>
          </cell>
        </row>
        <row r="34">
          <cell r="B34" t="str">
            <v>210</v>
          </cell>
          <cell r="C34" t="str">
            <v>MARTELETE/ROMPEDOR 33 KG</v>
          </cell>
        </row>
        <row r="35">
          <cell r="B35" t="str">
            <v>301</v>
          </cell>
          <cell r="C35" t="str">
            <v>BETONEIRA 320 L</v>
          </cell>
        </row>
        <row r="36">
          <cell r="B36" t="str">
            <v>304</v>
          </cell>
          <cell r="C36" t="str">
            <v>CARRINHO DE MÃO</v>
          </cell>
        </row>
        <row r="37">
          <cell r="B37" t="str">
            <v>305</v>
          </cell>
          <cell r="C37" t="str">
            <v>GERICA A-15</v>
          </cell>
        </row>
        <row r="38">
          <cell r="B38" t="str">
            <v>306</v>
          </cell>
          <cell r="C38" t="str">
            <v>VIBRADOR DE IMERSÃO</v>
          </cell>
        </row>
        <row r="39">
          <cell r="B39" t="str">
            <v>400</v>
          </cell>
          <cell r="C39" t="str">
            <v>CAMINHÃO BASCULANTE 5 M3 ( 8,8T )</v>
          </cell>
        </row>
        <row r="40">
          <cell r="B40" t="str">
            <v>403</v>
          </cell>
          <cell r="C40" t="str">
            <v>CAMINHÃO BASCULANTE 6 M3(10,5T)</v>
          </cell>
        </row>
        <row r="41">
          <cell r="B41" t="str">
            <v>404</v>
          </cell>
          <cell r="C41" t="str">
            <v>CAMINHÃO BASCULANTE 10 M3</v>
          </cell>
        </row>
        <row r="42">
          <cell r="B42" t="str">
            <v>405</v>
          </cell>
          <cell r="C42" t="str">
            <v>CAMINHÃO BASCULANTE 10 M3 P/ ROCHA</v>
          </cell>
        </row>
        <row r="43">
          <cell r="B43" t="str">
            <v>406</v>
          </cell>
          <cell r="C43" t="str">
            <v>CAMINHÃO TANQUE 6.OOOL</v>
          </cell>
        </row>
        <row r="44">
          <cell r="B44" t="str">
            <v>407</v>
          </cell>
          <cell r="C44" t="str">
            <v>COMPRESSOR DE AR DE 750 PCM</v>
          </cell>
        </row>
        <row r="45">
          <cell r="B45" t="str">
            <v>408</v>
          </cell>
          <cell r="C45" t="str">
            <v>CAMINHÃO CARROC. FIXA 4T</v>
          </cell>
        </row>
        <row r="46">
          <cell r="B46" t="str">
            <v>409</v>
          </cell>
          <cell r="C46" t="str">
            <v>CAMINHÃO CARROC. 9 TON</v>
          </cell>
        </row>
        <row r="47">
          <cell r="B47" t="str">
            <v>410</v>
          </cell>
          <cell r="C47" t="str">
            <v>CAMINHÃO CARROC. C/ MUCK 7 T</v>
          </cell>
        </row>
        <row r="48">
          <cell r="B48" t="str">
            <v>416</v>
          </cell>
          <cell r="C48" t="str">
            <v>PICK UP</v>
          </cell>
        </row>
        <row r="49">
          <cell r="B49" t="str">
            <v>417</v>
          </cell>
          <cell r="C49" t="str">
            <v>SERRA CIRCULAR</v>
          </cell>
        </row>
        <row r="50">
          <cell r="B50" t="str">
            <v>503</v>
          </cell>
          <cell r="C50" t="str">
            <v>GRUPO GERADOR - 220 KVA</v>
          </cell>
        </row>
        <row r="51">
          <cell r="B51" t="str">
            <v>505</v>
          </cell>
          <cell r="C51" t="str">
            <v>GRUPO GERADOR 9/10 KVA</v>
          </cell>
        </row>
        <row r="52">
          <cell r="B52" t="str">
            <v>906</v>
          </cell>
          <cell r="C52" t="str">
            <v>SOQUETE VIBRATÓRIO</v>
          </cell>
        </row>
        <row r="53">
          <cell r="B53" t="str">
            <v>908</v>
          </cell>
          <cell r="C53" t="str">
            <v>MAQ. PARA PINTURA FAIXAS</v>
          </cell>
        </row>
        <row r="54">
          <cell r="B54" t="str">
            <v>909</v>
          </cell>
          <cell r="C54" t="str">
            <v>EQUIP. PARA HIDROSEMEADURA</v>
          </cell>
        </row>
        <row r="55">
          <cell r="B55" t="str">
            <v>910</v>
          </cell>
          <cell r="C55" t="str">
            <v>MAQ. P/ PINTURA FAIXAS QUENTE</v>
          </cell>
        </row>
        <row r="56">
          <cell r="B56" t="str">
            <v>911</v>
          </cell>
          <cell r="C56" t="str">
            <v>FUSOR</v>
          </cell>
        </row>
        <row r="57">
          <cell r="B57" t="str">
            <v>914</v>
          </cell>
          <cell r="C57" t="str">
            <v>PLACA VIBRATÓRIA C/ MOTOR DIESEL</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básicas"/>
      <sheetName val="Mobilização_Desmob_Canteiro"/>
      <sheetName val="Aquisição_Transporte_Materiais"/>
      <sheetName val="pavimentação"/>
      <sheetName val="terraplenagem"/>
      <sheetName val="drenagem"/>
      <sheetName val="OAC"/>
      <sheetName val="sinalização"/>
      <sheetName val="OAE"/>
      <sheetName val="Banco de D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t="str">
            <v>Custo Unitário Mão-de-Obra</v>
          </cell>
          <cell r="T1" t="str">
            <v>Resumo dos Custos Unitários de Referência</v>
          </cell>
        </row>
        <row r="3">
          <cell r="A3" t="str">
            <v>Código</v>
          </cell>
          <cell r="B3" t="str">
            <v>Denominação</v>
          </cell>
          <cell r="C3" t="str">
            <v>Custo Horário</v>
          </cell>
          <cell r="T3" t="str">
            <v>Código</v>
          </cell>
          <cell r="U3" t="str">
            <v>Atividade/Serviço</v>
          </cell>
          <cell r="V3" t="str">
            <v>ud</v>
          </cell>
          <cell r="W3" t="str">
            <v>Custo</v>
          </cell>
        </row>
        <row r="4">
          <cell r="A4" t="str">
            <v>T000</v>
          </cell>
          <cell r="B4" t="str">
            <v>Salário Mínimo</v>
          </cell>
          <cell r="C4">
            <v>3.9087999999999998</v>
          </cell>
          <cell r="T4" t="str">
            <v>1 A 00 001 00</v>
          </cell>
          <cell r="U4" t="str">
            <v xml:space="preserve"> Transporte local c/ basc. 5 m3 rodov. não pav.</v>
          </cell>
          <cell r="V4" t="str">
            <v xml:space="preserve"> tkm</v>
          </cell>
          <cell r="W4">
            <v>0.59</v>
          </cell>
        </row>
        <row r="5">
          <cell r="A5" t="str">
            <v>T301</v>
          </cell>
          <cell r="B5" t="str">
            <v>Motorista de veículo leve</v>
          </cell>
          <cell r="C5">
            <v>11.335599999999999</v>
          </cell>
          <cell r="T5" t="str">
            <v>1 A 00 001 05</v>
          </cell>
          <cell r="U5" t="str">
            <v xml:space="preserve"> Transp. local c/ basc. 10m3 rodov. não pav (const)</v>
          </cell>
          <cell r="V5" t="str">
            <v xml:space="preserve"> tkm</v>
          </cell>
          <cell r="W5">
            <v>0.52</v>
          </cell>
        </row>
        <row r="6">
          <cell r="A6" t="str">
            <v>T302</v>
          </cell>
          <cell r="B6" t="str">
            <v>Motorista de caminhão</v>
          </cell>
          <cell r="C6">
            <v>12.5082</v>
          </cell>
          <cell r="T6" t="str">
            <v>1 A 00 001 06</v>
          </cell>
          <cell r="U6" t="str">
            <v xml:space="preserve"> Transp. local c/ basc. 10m3 rodov. não pav (consv)</v>
          </cell>
          <cell r="V6" t="str">
            <v xml:space="preserve"> tkm</v>
          </cell>
          <cell r="W6">
            <v>0.62</v>
          </cell>
        </row>
        <row r="7">
          <cell r="A7" t="str">
            <v>T303</v>
          </cell>
          <cell r="B7" t="str">
            <v>Motorista de veículo especial</v>
          </cell>
          <cell r="C7">
            <v>13.29</v>
          </cell>
          <cell r="T7" t="str">
            <v>1 A 00 001 07</v>
          </cell>
          <cell r="U7" t="str">
            <v xml:space="preserve"> Transp. local c/ basc. 10m3 rodov. não pav (restr) </v>
          </cell>
          <cell r="V7" t="str">
            <v>tkm</v>
          </cell>
          <cell r="W7">
            <v>0.6</v>
          </cell>
        </row>
        <row r="8">
          <cell r="A8" t="str">
            <v>T311</v>
          </cell>
          <cell r="B8" t="str">
            <v>Operador de equipamento leve 1</v>
          </cell>
          <cell r="C8">
            <v>9.3811999999999998</v>
          </cell>
          <cell r="T8" t="str">
            <v>1 A 00 001 08</v>
          </cell>
          <cell r="U8" t="str">
            <v xml:space="preserve"> Transporte local c/ basc. p/ rocha rodov. não pav. </v>
          </cell>
          <cell r="V8" t="str">
            <v>tkm</v>
          </cell>
          <cell r="W8">
            <v>0.76</v>
          </cell>
        </row>
        <row r="9">
          <cell r="A9" t="str">
            <v>T312</v>
          </cell>
          <cell r="B9" t="str">
            <v>Operador de equipamento leve 2</v>
          </cell>
          <cell r="C9">
            <v>10.553800000000001</v>
          </cell>
          <cell r="T9" t="str">
            <v>1 A 00 001 40</v>
          </cell>
          <cell r="U9" t="str">
            <v xml:space="preserve"> Transp. local c/ carroceria 15 t rodov. não pav. </v>
          </cell>
          <cell r="V9" t="str">
            <v>tkm</v>
          </cell>
          <cell r="W9">
            <v>0.67</v>
          </cell>
        </row>
        <row r="10">
          <cell r="A10" t="str">
            <v>T313</v>
          </cell>
          <cell r="B10" t="str">
            <v>Operador de equip. pesado</v>
          </cell>
          <cell r="C10">
            <v>13.680899999999999</v>
          </cell>
          <cell r="T10" t="str">
            <v>1 A 00 001 41</v>
          </cell>
          <cell r="U10" t="str">
            <v xml:space="preserve"> Transporte local c/ carroceria 4t rodov. não pav. </v>
          </cell>
          <cell r="V10" t="str">
            <v xml:space="preserve">tkm </v>
          </cell>
          <cell r="W10">
            <v>0.84</v>
          </cell>
        </row>
        <row r="11">
          <cell r="A11" t="str">
            <v>T314</v>
          </cell>
          <cell r="B11" t="str">
            <v>Operador de equip. especial</v>
          </cell>
          <cell r="C11">
            <v>14.4626</v>
          </cell>
          <cell r="T11" t="str">
            <v>1 A 00 001 50</v>
          </cell>
          <cell r="U11" t="str">
            <v xml:space="preserve"> Transporte local c/ betoneira rodov. não pav. </v>
          </cell>
          <cell r="V11" t="str">
            <v xml:space="preserve">tkm </v>
          </cell>
          <cell r="W11">
            <v>0.8</v>
          </cell>
        </row>
        <row r="12">
          <cell r="A12" t="str">
            <v>T401</v>
          </cell>
          <cell r="B12" t="str">
            <v>Pré-marcador</v>
          </cell>
          <cell r="C12">
            <v>14.4626</v>
          </cell>
          <cell r="T12" t="str">
            <v>1 A 00 001 60</v>
          </cell>
          <cell r="U12" t="str">
            <v xml:space="preserve"> Transp. local c/ carroc. c/ guind. rodov. não pav.</v>
          </cell>
          <cell r="V12" t="str">
            <v xml:space="preserve"> tkm </v>
          </cell>
          <cell r="W12">
            <v>0.76</v>
          </cell>
        </row>
        <row r="13">
          <cell r="A13" t="str">
            <v>T501</v>
          </cell>
          <cell r="B13" t="str">
            <v>Encarregado de turma</v>
          </cell>
          <cell r="C13">
            <v>14.0717</v>
          </cell>
          <cell r="T13" t="str">
            <v>1 A 00 001 90</v>
          </cell>
          <cell r="U13" t="str">
            <v xml:space="preserve"> Transporte comercial c/ carroc. rodov. não pav.</v>
          </cell>
          <cell r="V13" t="str">
            <v xml:space="preserve"> tkm </v>
          </cell>
          <cell r="W13">
            <v>0.4</v>
          </cell>
        </row>
        <row r="14">
          <cell r="A14" t="str">
            <v>T511</v>
          </cell>
          <cell r="B14" t="str">
            <v>Encarregado de pavimentação</v>
          </cell>
          <cell r="C14">
            <v>27.361699999999999</v>
          </cell>
          <cell r="T14" t="str">
            <v>1 A 00 001 91</v>
          </cell>
          <cell r="U14" t="str">
            <v xml:space="preserve"> Transporte comercial c/ basc. 10m3 rod. não pav.</v>
          </cell>
          <cell r="V14" t="str">
            <v xml:space="preserve"> tkm </v>
          </cell>
          <cell r="W14">
            <v>0.41</v>
          </cell>
        </row>
        <row r="15">
          <cell r="A15" t="str">
            <v>T512</v>
          </cell>
          <cell r="B15" t="str">
            <v>Encarregado de britagem</v>
          </cell>
          <cell r="C15">
            <v>27.361699999999999</v>
          </cell>
          <cell r="T15" t="str">
            <v>1 A 00 002 00</v>
          </cell>
          <cell r="U15" t="str">
            <v xml:space="preserve"> Transporte local c/ basc. 5m3 rodov. pav. </v>
          </cell>
          <cell r="V15" t="str">
            <v xml:space="preserve">tkm </v>
          </cell>
          <cell r="W15">
            <v>0.47</v>
          </cell>
        </row>
        <row r="16">
          <cell r="A16" t="str">
            <v>T601</v>
          </cell>
          <cell r="B16" t="str">
            <v>Blaster</v>
          </cell>
          <cell r="C16">
            <v>16.026199999999999</v>
          </cell>
          <cell r="T16" t="str">
            <v>1 A 00 002 03</v>
          </cell>
          <cell r="U16" t="str">
            <v xml:space="preserve"> Transp. local material para remendos </v>
          </cell>
          <cell r="V16" t="str">
            <v xml:space="preserve">tkm </v>
          </cell>
          <cell r="W16">
            <v>1.01</v>
          </cell>
        </row>
        <row r="17">
          <cell r="A17" t="str">
            <v>T602</v>
          </cell>
          <cell r="B17" t="str">
            <v>Montador</v>
          </cell>
          <cell r="C17">
            <v>10.1629</v>
          </cell>
          <cell r="T17" t="str">
            <v>1 A 00 002 05</v>
          </cell>
          <cell r="U17" t="str">
            <v xml:space="preserve"> Transp. local c/ basc. 10m3 rodov. pav. (const) </v>
          </cell>
          <cell r="V17" t="str">
            <v xml:space="preserve">tkm </v>
          </cell>
          <cell r="W17">
            <v>0.4</v>
          </cell>
        </row>
        <row r="18">
          <cell r="A18" t="str">
            <v>T603</v>
          </cell>
          <cell r="B18" t="str">
            <v>Carpinteiro</v>
          </cell>
          <cell r="C18">
            <v>10.1629</v>
          </cell>
          <cell r="T18" t="str">
            <v>1 A 00 002 06</v>
          </cell>
          <cell r="U18" t="str">
            <v xml:space="preserve"> Transp. local c/ basc. 10m3 rodov. pav. (consv) </v>
          </cell>
          <cell r="V18" t="str">
            <v xml:space="preserve">tkm </v>
          </cell>
          <cell r="W18">
            <v>0.47</v>
          </cell>
        </row>
        <row r="19">
          <cell r="A19" t="str">
            <v>T604</v>
          </cell>
          <cell r="B19" t="str">
            <v>Pedreiro</v>
          </cell>
          <cell r="C19">
            <v>10.1629</v>
          </cell>
          <cell r="T19" t="str">
            <v>1 A 00 002 07</v>
          </cell>
          <cell r="U19" t="str">
            <v xml:space="preserve"> Transp. local c/ basc. 10m3 rodov. pav. (restr) </v>
          </cell>
          <cell r="V19" t="str">
            <v xml:space="preserve">tkm </v>
          </cell>
          <cell r="W19">
            <v>0.45</v>
          </cell>
        </row>
        <row r="20">
          <cell r="A20" t="str">
            <v>T605</v>
          </cell>
          <cell r="B20" t="str">
            <v>Armador</v>
          </cell>
          <cell r="C20">
            <v>10.1629</v>
          </cell>
          <cell r="T20" t="str">
            <v>1 A 00 002 08</v>
          </cell>
          <cell r="U20" t="str">
            <v xml:space="preserve"> Transporte local c/ basc. p/ rocha rodov. pav.</v>
          </cell>
          <cell r="V20" t="str">
            <v xml:space="preserve"> tkm </v>
          </cell>
          <cell r="W20">
            <v>0.56999999999999995</v>
          </cell>
        </row>
        <row r="21">
          <cell r="A21" t="str">
            <v>T606</v>
          </cell>
          <cell r="B21" t="str">
            <v>Ferreiro</v>
          </cell>
          <cell r="C21">
            <v>10.1629</v>
          </cell>
          <cell r="T21" t="str">
            <v>1 A 00 002 40</v>
          </cell>
          <cell r="U21" t="str">
            <v xml:space="preserve"> Transporte local c/ carroceria 15 t rodov. pav. </v>
          </cell>
          <cell r="V21" t="str">
            <v xml:space="preserve">tkm </v>
          </cell>
          <cell r="W21">
            <v>0.5</v>
          </cell>
        </row>
        <row r="22">
          <cell r="A22" t="str">
            <v>T607</v>
          </cell>
          <cell r="B22" t="str">
            <v>Pintor</v>
          </cell>
          <cell r="C22">
            <v>10.1629</v>
          </cell>
          <cell r="T22" t="str">
            <v>1 A 00 002 41</v>
          </cell>
          <cell r="U22" t="str">
            <v xml:space="preserve"> Transporte local c/ carroceria 4t rodov. pav.</v>
          </cell>
          <cell r="V22" t="str">
            <v xml:space="preserve"> tkm </v>
          </cell>
          <cell r="W22">
            <v>0.66</v>
          </cell>
        </row>
        <row r="23">
          <cell r="A23" t="str">
            <v>T608</v>
          </cell>
          <cell r="B23" t="str">
            <v>Soldador</v>
          </cell>
          <cell r="C23">
            <v>10.1629</v>
          </cell>
          <cell r="T23" t="str">
            <v>1 A 00 002 50</v>
          </cell>
          <cell r="U23" t="str">
            <v xml:space="preserve"> Transporte local c/ betoneira rodov. pav. </v>
          </cell>
          <cell r="V23" t="str">
            <v xml:space="preserve">tkm </v>
          </cell>
          <cell r="W23">
            <v>0.59</v>
          </cell>
        </row>
        <row r="24">
          <cell r="A24" t="str">
            <v>T609</v>
          </cell>
          <cell r="B24" t="str">
            <v>Jardineiro</v>
          </cell>
          <cell r="C24">
            <v>10.1629</v>
          </cell>
          <cell r="T24" t="str">
            <v>1 A 00 002 60</v>
          </cell>
          <cell r="U24" t="str">
            <v xml:space="preserve"> Transp. local c/ carroceria c/ guind. rodov. pav. </v>
          </cell>
          <cell r="V24" t="str">
            <v xml:space="preserve">tkm </v>
          </cell>
          <cell r="W24">
            <v>0.68</v>
          </cell>
        </row>
        <row r="25">
          <cell r="A25" t="str">
            <v>T610</v>
          </cell>
          <cell r="B25" t="str">
            <v>Serralheiro</v>
          </cell>
          <cell r="C25">
            <v>10.1629</v>
          </cell>
          <cell r="T25" t="str">
            <v>1 A 00 002 90</v>
          </cell>
          <cell r="U25" t="str">
            <v xml:space="preserve"> Transporte comercial c/ carroceria rodov. pav.</v>
          </cell>
          <cell r="V25" t="str">
            <v xml:space="preserve"> tkm </v>
          </cell>
          <cell r="W25">
            <v>0.27</v>
          </cell>
        </row>
        <row r="26">
          <cell r="A26" t="str">
            <v>T701</v>
          </cell>
          <cell r="B26" t="str">
            <v>Servente</v>
          </cell>
          <cell r="C26">
            <v>5.8632</v>
          </cell>
          <cell r="T26" t="str">
            <v>1 A 00 002 91</v>
          </cell>
          <cell r="U26" t="str">
            <v xml:space="preserve"> Transporte comercial c/ basc. 10m3 rod. pav. </v>
          </cell>
          <cell r="V26" t="str">
            <v xml:space="preserve">tkm </v>
          </cell>
          <cell r="W26">
            <v>0.27</v>
          </cell>
        </row>
        <row r="27">
          <cell r="A27" t="str">
            <v>T702</v>
          </cell>
          <cell r="B27" t="str">
            <v>Ajudante</v>
          </cell>
          <cell r="C27">
            <v>6.6449999999999996</v>
          </cell>
          <cell r="T27" t="str">
            <v>1 A 00 102 00</v>
          </cell>
          <cell r="U27" t="str">
            <v xml:space="preserve"> Transporte local de material betuminoso </v>
          </cell>
          <cell r="V27" t="str">
            <v xml:space="preserve">tkm </v>
          </cell>
          <cell r="W27">
            <v>0.95</v>
          </cell>
        </row>
        <row r="28">
          <cell r="A28" t="str">
            <v>T801</v>
          </cell>
          <cell r="B28" t="str">
            <v>Perfurador de tubulão</v>
          </cell>
          <cell r="C28">
            <v>8.2085000000000008</v>
          </cell>
          <cell r="T28" t="str">
            <v>1 A 00 112 90</v>
          </cell>
          <cell r="U28" t="str">
            <v xml:space="preserve"> Transporte comercial material betuminoso a quente</v>
          </cell>
          <cell r="V28" t="str">
            <v xml:space="preserve"> tkm </v>
          </cell>
          <cell r="W28">
            <v>0</v>
          </cell>
        </row>
        <row r="29">
          <cell r="T29" t="str">
            <v>1 A 00 112 91</v>
          </cell>
          <cell r="U29" t="str">
            <v xml:space="preserve"> Transporte comercial material betuminoso a frio</v>
          </cell>
          <cell r="V29" t="str">
            <v xml:space="preserve"> tkm </v>
          </cell>
          <cell r="W29">
            <v>0</v>
          </cell>
        </row>
        <row r="30">
          <cell r="T30" t="str">
            <v>1 A 00 201 70</v>
          </cell>
          <cell r="U30" t="str">
            <v xml:space="preserve"> Transp. local água c/ cam. tanque rodov. não pav.</v>
          </cell>
          <cell r="V30" t="str">
            <v xml:space="preserve"> tkm </v>
          </cell>
          <cell r="W30">
            <v>0.74</v>
          </cell>
        </row>
        <row r="31">
          <cell r="T31" t="str">
            <v>1 A 00 202 70</v>
          </cell>
          <cell r="U31" t="str">
            <v xml:space="preserve"> Transp. local de água c/ cam. tanque rodov. pav.</v>
          </cell>
          <cell r="V31" t="str">
            <v xml:space="preserve"> tkm </v>
          </cell>
          <cell r="W31">
            <v>0.55000000000000004</v>
          </cell>
        </row>
        <row r="32">
          <cell r="T32" t="str">
            <v>1 A 00 301 00</v>
          </cell>
          <cell r="U32" t="str">
            <v xml:space="preserve"> Fornecimento de Aço CA-25</v>
          </cell>
          <cell r="V32" t="str">
            <v xml:space="preserve"> kg </v>
          </cell>
          <cell r="W32">
            <v>3.5</v>
          </cell>
        </row>
        <row r="33">
          <cell r="T33" t="str">
            <v>1 A 00 302 00</v>
          </cell>
          <cell r="U33" t="str">
            <v xml:space="preserve"> Fornecimento de Aço CA-50 </v>
          </cell>
          <cell r="V33" t="str">
            <v xml:space="preserve">kg </v>
          </cell>
          <cell r="W33">
            <v>3.44</v>
          </cell>
        </row>
        <row r="34">
          <cell r="T34" t="str">
            <v>1 A 00 303 00</v>
          </cell>
          <cell r="U34" t="str">
            <v xml:space="preserve"> Fornecimento de Aço CA-60 </v>
          </cell>
          <cell r="V34" t="str">
            <v xml:space="preserve">kg </v>
          </cell>
          <cell r="W34">
            <v>3.73</v>
          </cell>
        </row>
        <row r="35">
          <cell r="T35" t="str">
            <v>1 A 00 716 00</v>
          </cell>
          <cell r="U35" t="str">
            <v xml:space="preserve"> Areia comercial </v>
          </cell>
          <cell r="V35" t="str">
            <v xml:space="preserve">m3 </v>
          </cell>
          <cell r="W35">
            <v>24.43</v>
          </cell>
        </row>
        <row r="36">
          <cell r="T36" t="str">
            <v>1 A 00 717 00</v>
          </cell>
          <cell r="U36" t="str">
            <v xml:space="preserve"> Brita Comercial </v>
          </cell>
          <cell r="V36" t="str">
            <v xml:space="preserve">m3 </v>
          </cell>
          <cell r="W36">
            <v>38</v>
          </cell>
        </row>
        <row r="37">
          <cell r="T37" t="str">
            <v>1 A 00 901 01</v>
          </cell>
          <cell r="U37" t="str">
            <v xml:space="preserve"> Alvenaria de pedra argamassada </v>
          </cell>
          <cell r="V37" t="str">
            <v xml:space="preserve">m3 </v>
          </cell>
          <cell r="W37">
            <v>129.16</v>
          </cell>
        </row>
        <row r="38">
          <cell r="T38" t="str">
            <v>1 A 00 901 51</v>
          </cell>
          <cell r="U38" t="str">
            <v xml:space="preserve"> Alvenaria de pedra argamassada AC/PC </v>
          </cell>
          <cell r="V38" t="str">
            <v xml:space="preserve">m3 </v>
          </cell>
          <cell r="W38">
            <v>141.22999999999999</v>
          </cell>
        </row>
        <row r="39">
          <cell r="T39" t="str">
            <v>1 A 00 902 01</v>
          </cell>
          <cell r="U39" t="str">
            <v xml:space="preserve"> Alvenaria de tijolos </v>
          </cell>
          <cell r="V39" t="str">
            <v xml:space="preserve">m2 </v>
          </cell>
          <cell r="W39">
            <v>35.89</v>
          </cell>
        </row>
        <row r="40">
          <cell r="T40" t="str">
            <v>1 A 00 902 51</v>
          </cell>
          <cell r="U40" t="str">
            <v xml:space="preserve"> Alvenaria de tijolos AC </v>
          </cell>
          <cell r="V40" t="str">
            <v xml:space="preserve">m2 </v>
          </cell>
          <cell r="W40">
            <v>36.58</v>
          </cell>
        </row>
        <row r="41">
          <cell r="T41" t="str">
            <v>1 A 00 903 01</v>
          </cell>
          <cell r="U41" t="str">
            <v xml:space="preserve"> Dentes para bueiros duplos D=1,00 m </v>
          </cell>
          <cell r="V41" t="str">
            <v xml:space="preserve">und </v>
          </cell>
          <cell r="W41">
            <v>94.51</v>
          </cell>
        </row>
        <row r="42">
          <cell r="T42" t="str">
            <v>1 A 00 903 51</v>
          </cell>
          <cell r="U42" t="str">
            <v xml:space="preserve"> Dentes para bueiros duplos D=1,00 m AC/BC/PC </v>
          </cell>
          <cell r="V42" t="str">
            <v xml:space="preserve">und </v>
          </cell>
          <cell r="W42">
            <v>105.18</v>
          </cell>
        </row>
        <row r="43">
          <cell r="T43" t="str">
            <v>1 A 00 904 01</v>
          </cell>
          <cell r="U43" t="str">
            <v xml:space="preserve"> Dentes para bueiros duplos D=1,20 m </v>
          </cell>
          <cell r="V43" t="str">
            <v xml:space="preserve">und </v>
          </cell>
          <cell r="W43">
            <v>105.99</v>
          </cell>
        </row>
        <row r="44">
          <cell r="T44" t="str">
            <v>1 A 00 904 51</v>
          </cell>
          <cell r="U44" t="str">
            <v xml:space="preserve"> Dentes para bueiros duplos D=1,20 m AC/BC/PC </v>
          </cell>
          <cell r="V44" t="str">
            <v xml:space="preserve">und </v>
          </cell>
          <cell r="W44">
            <v>118.28</v>
          </cell>
        </row>
        <row r="45">
          <cell r="T45" t="str">
            <v>1 A 00 905 01</v>
          </cell>
          <cell r="U45" t="str">
            <v xml:space="preserve"> Dentes para bueiros duplos D=1,50 m</v>
          </cell>
          <cell r="V45" t="str">
            <v xml:space="preserve"> und </v>
          </cell>
          <cell r="W45">
            <v>132.78</v>
          </cell>
        </row>
        <row r="46">
          <cell r="T46" t="str">
            <v>1 A 00 905 51</v>
          </cell>
          <cell r="U46" t="str">
            <v xml:space="preserve"> Dentes para bueiros duplos D=1,50 m AC/BC/PC </v>
          </cell>
          <cell r="V46" t="str">
            <v xml:space="preserve">und </v>
          </cell>
          <cell r="W46">
            <v>147.44999999999999</v>
          </cell>
        </row>
        <row r="47">
          <cell r="T47" t="str">
            <v>1 A 00 906 01</v>
          </cell>
          <cell r="U47" t="str">
            <v xml:space="preserve"> Dentes para bueiros simples D=0,60 m </v>
          </cell>
          <cell r="V47" t="str">
            <v xml:space="preserve">und </v>
          </cell>
          <cell r="W47">
            <v>32.06</v>
          </cell>
        </row>
        <row r="48">
          <cell r="T48" t="str">
            <v>1 A 00 906 51</v>
          </cell>
          <cell r="U48" t="str">
            <v xml:space="preserve"> Dentes para bueiros simples D=0,60 m AC/BC/PC </v>
          </cell>
          <cell r="V48" t="str">
            <v xml:space="preserve">und </v>
          </cell>
          <cell r="W48">
            <v>35.630000000000003</v>
          </cell>
        </row>
        <row r="49">
          <cell r="T49" t="str">
            <v>1 A 00 907 01</v>
          </cell>
          <cell r="U49" t="str">
            <v xml:space="preserve"> Dentes para bueiros simples D=0,80 m </v>
          </cell>
          <cell r="V49" t="str">
            <v xml:space="preserve">und </v>
          </cell>
          <cell r="W49">
            <v>39.83</v>
          </cell>
        </row>
        <row r="50">
          <cell r="T50" t="str">
            <v>1 A 00 907 51</v>
          </cell>
          <cell r="U50" t="str">
            <v xml:space="preserve"> Dentes para bueiros simples D=0,80 m AC/BC/PC </v>
          </cell>
          <cell r="V50" t="str">
            <v xml:space="preserve">und </v>
          </cell>
          <cell r="W50">
            <v>44.27</v>
          </cell>
        </row>
        <row r="51">
          <cell r="T51" t="str">
            <v>1 A 00 908 01</v>
          </cell>
          <cell r="U51" t="str">
            <v xml:space="preserve"> Dentes para bueiros simples D=1,00 m </v>
          </cell>
          <cell r="V51" t="str">
            <v xml:space="preserve">und </v>
          </cell>
          <cell r="W51">
            <v>47.19</v>
          </cell>
        </row>
        <row r="52">
          <cell r="T52" t="str">
            <v>1 A 00 908 51</v>
          </cell>
          <cell r="U52" t="str">
            <v xml:space="preserve"> Dentes para bueiros simples D=1,00 m AC/BC/PC </v>
          </cell>
          <cell r="V52" t="str">
            <v xml:space="preserve">und </v>
          </cell>
          <cell r="W52">
            <v>52.51</v>
          </cell>
        </row>
        <row r="53">
          <cell r="T53" t="str">
            <v>1 A 00 909 01</v>
          </cell>
          <cell r="U53" t="str">
            <v xml:space="preserve"> Dentes para bueiros simples D=1,20 m </v>
          </cell>
          <cell r="V53" t="str">
            <v xml:space="preserve">und </v>
          </cell>
          <cell r="W53">
            <v>53.07</v>
          </cell>
        </row>
        <row r="54">
          <cell r="T54" t="str">
            <v>1 A 00 909 51</v>
          </cell>
          <cell r="U54" t="str">
            <v xml:space="preserve"> Dentes para bueiros simples D=1,20 m AC/BC/PC </v>
          </cell>
          <cell r="V54" t="str">
            <v xml:space="preserve">und </v>
          </cell>
          <cell r="W54">
            <v>59.22</v>
          </cell>
        </row>
        <row r="55">
          <cell r="T55" t="str">
            <v>1 A 00 910 01</v>
          </cell>
          <cell r="U55" t="str">
            <v xml:space="preserve"> Dentes para bueiros simples D=1,50 m </v>
          </cell>
          <cell r="V55" t="str">
            <v xml:space="preserve">und </v>
          </cell>
          <cell r="W55">
            <v>69.209999999999994</v>
          </cell>
        </row>
        <row r="56">
          <cell r="T56" t="str">
            <v>1 A 00 910 51</v>
          </cell>
          <cell r="U56" t="str">
            <v xml:space="preserve"> Dentes para bueiros simples D=1,50 m AC/BC/PC </v>
          </cell>
          <cell r="V56" t="str">
            <v xml:space="preserve">und </v>
          </cell>
          <cell r="W56">
            <v>76.55</v>
          </cell>
        </row>
        <row r="57">
          <cell r="T57" t="str">
            <v>1 A 00 911 01</v>
          </cell>
          <cell r="U57" t="str">
            <v xml:space="preserve"> Dentes para bueiros triplos D=1,00 m </v>
          </cell>
          <cell r="V57" t="str">
            <v xml:space="preserve">und </v>
          </cell>
          <cell r="W57">
            <v>137.06</v>
          </cell>
        </row>
        <row r="58">
          <cell r="T58" t="str">
            <v>1 A 00 911 51</v>
          </cell>
          <cell r="U58" t="str">
            <v xml:space="preserve"> Dentes para bueiros triplos D=1,00 m AC/BC/PC </v>
          </cell>
          <cell r="V58" t="str">
            <v xml:space="preserve">und </v>
          </cell>
          <cell r="W58">
            <v>153.05000000000001</v>
          </cell>
        </row>
        <row r="59">
          <cell r="T59" t="str">
            <v>1 A 00 912 01</v>
          </cell>
          <cell r="U59" t="str">
            <v xml:space="preserve"> Dentes para bueiros triplos D=1,20 m </v>
          </cell>
          <cell r="V59" t="str">
            <v xml:space="preserve">und </v>
          </cell>
          <cell r="W59">
            <v>159.06</v>
          </cell>
        </row>
        <row r="60">
          <cell r="T60" t="str">
            <v>1 A 00 912 51</v>
          </cell>
          <cell r="U60" t="str">
            <v xml:space="preserve"> Dentes para bueiros triplos D=1,20 m AC/BC/PC </v>
          </cell>
          <cell r="V60" t="str">
            <v xml:space="preserve">und </v>
          </cell>
          <cell r="W60">
            <v>177.5</v>
          </cell>
        </row>
        <row r="61">
          <cell r="T61" t="str">
            <v>1 A 00 913 01</v>
          </cell>
          <cell r="U61" t="str">
            <v xml:space="preserve"> Dentes para bueiros triplos D=1,50 m </v>
          </cell>
          <cell r="V61" t="str">
            <v xml:space="preserve">und </v>
          </cell>
          <cell r="W61">
            <v>195.59</v>
          </cell>
        </row>
        <row r="62">
          <cell r="T62" t="str">
            <v>1 A 00 913 51</v>
          </cell>
          <cell r="U62" t="str">
            <v xml:space="preserve"> Dentes para bueiros triplos D=1,50 m AC/BC/PC </v>
          </cell>
          <cell r="V62" t="str">
            <v xml:space="preserve">und </v>
          </cell>
          <cell r="W62">
            <v>217.57</v>
          </cell>
        </row>
        <row r="63">
          <cell r="T63" t="str">
            <v>1 A 00 961 00</v>
          </cell>
          <cell r="U63" t="str">
            <v xml:space="preserve"> Peças de Desgaste do Britador 30m3/h </v>
          </cell>
          <cell r="V63" t="str">
            <v xml:space="preserve">cjh </v>
          </cell>
          <cell r="W63">
            <v>45.29</v>
          </cell>
        </row>
        <row r="64">
          <cell r="T64" t="str">
            <v>1 A 00 962 00</v>
          </cell>
          <cell r="U64" t="str">
            <v xml:space="preserve"> Peças de Desgaste do Britador 9 a 20m3/h </v>
          </cell>
          <cell r="V64" t="str">
            <v xml:space="preserve">cjh </v>
          </cell>
          <cell r="W64">
            <v>25.42</v>
          </cell>
        </row>
        <row r="65">
          <cell r="T65" t="str">
            <v>1 A 00 963 00</v>
          </cell>
          <cell r="U65" t="str">
            <v xml:space="preserve"> Peças de Desgaste do Britador 80m3/h </v>
          </cell>
          <cell r="V65" t="str">
            <v xml:space="preserve">cjh </v>
          </cell>
          <cell r="W65">
            <v>124.06</v>
          </cell>
        </row>
        <row r="66">
          <cell r="T66" t="str">
            <v>1 A 00 964 00</v>
          </cell>
          <cell r="U66" t="str">
            <v xml:space="preserve"> Peças de desgaste britador prod. de rachão </v>
          </cell>
          <cell r="V66" t="str">
            <v xml:space="preserve">cjh </v>
          </cell>
          <cell r="W66">
            <v>37.33</v>
          </cell>
        </row>
        <row r="67">
          <cell r="T67" t="str">
            <v>1 A 00 999 06</v>
          </cell>
          <cell r="U67" t="str">
            <v xml:space="preserve"> Solo local / selo de argila apiloado </v>
          </cell>
          <cell r="V67" t="str">
            <v xml:space="preserve">m3 </v>
          </cell>
          <cell r="W67">
            <v>12.34</v>
          </cell>
        </row>
        <row r="68">
          <cell r="T68" t="str">
            <v>1 A 01 100 01</v>
          </cell>
          <cell r="U68" t="str">
            <v xml:space="preserve"> Limpeza camada vegetal em jazida (const e restr.) </v>
          </cell>
          <cell r="V68" t="str">
            <v xml:space="preserve">m2 </v>
          </cell>
          <cell r="W68">
            <v>0.34</v>
          </cell>
        </row>
        <row r="69">
          <cell r="T69" t="str">
            <v>1 A 01 100 02</v>
          </cell>
          <cell r="U69" t="str">
            <v xml:space="preserve"> Limpeza de camada vegetal em jazida (consv) </v>
          </cell>
          <cell r="V69" t="str">
            <v xml:space="preserve">m2 </v>
          </cell>
          <cell r="W69">
            <v>0.68</v>
          </cell>
        </row>
        <row r="70">
          <cell r="T70" t="str">
            <v>1 A 01 105 01</v>
          </cell>
          <cell r="U70" t="str">
            <v xml:space="preserve"> Expurgo de jazida (const e restr) </v>
          </cell>
          <cell r="V70" t="str">
            <v xml:space="preserve">m3 </v>
          </cell>
          <cell r="W70">
            <v>1.8</v>
          </cell>
        </row>
        <row r="71">
          <cell r="T71" t="str">
            <v>1 A 01 105 02</v>
          </cell>
          <cell r="U71" t="str">
            <v xml:space="preserve"> Expurgo de jazida (consv) </v>
          </cell>
          <cell r="V71" t="str">
            <v xml:space="preserve">m3 </v>
          </cell>
          <cell r="W71">
            <v>3.65</v>
          </cell>
        </row>
        <row r="72">
          <cell r="T72" t="str">
            <v>1 A 01 111 00</v>
          </cell>
          <cell r="U72" t="str">
            <v xml:space="preserve"> Material de base (conserv) </v>
          </cell>
          <cell r="V72" t="str">
            <v xml:space="preserve">m3 </v>
          </cell>
          <cell r="W72">
            <v>0</v>
          </cell>
        </row>
        <row r="73">
          <cell r="T73" t="str">
            <v>1 A 01 111 01</v>
          </cell>
          <cell r="U73" t="str">
            <v xml:space="preserve"> Esc. e carga material de jazida (consv) </v>
          </cell>
          <cell r="V73" t="str">
            <v xml:space="preserve">m3 </v>
          </cell>
          <cell r="W73">
            <v>6.84</v>
          </cell>
        </row>
        <row r="74">
          <cell r="T74" t="str">
            <v>1 A 01 120 01</v>
          </cell>
          <cell r="U74" t="str">
            <v xml:space="preserve"> Escav. e carga de mater. de jazida(const e restr) </v>
          </cell>
          <cell r="V74" t="str">
            <v xml:space="preserve">m3 </v>
          </cell>
          <cell r="W74">
            <v>3.66</v>
          </cell>
        </row>
        <row r="75">
          <cell r="T75" t="str">
            <v>1 A 01 150 01</v>
          </cell>
          <cell r="U75" t="str">
            <v xml:space="preserve"> Rocha p/ britagem c/ perfur. sobre esteira </v>
          </cell>
          <cell r="V75" t="str">
            <v xml:space="preserve">m3 </v>
          </cell>
          <cell r="W75">
            <v>22.71</v>
          </cell>
        </row>
        <row r="76">
          <cell r="T76" t="str">
            <v>1 A 01 150 02</v>
          </cell>
          <cell r="U76" t="str">
            <v xml:space="preserve"> Rocha p/ britagem com perfuratriz manual </v>
          </cell>
          <cell r="V76" t="str">
            <v xml:space="preserve">m3 </v>
          </cell>
          <cell r="W76">
            <v>22.35</v>
          </cell>
        </row>
        <row r="77">
          <cell r="T77" t="str">
            <v>1 A 01 155 01</v>
          </cell>
          <cell r="U77" t="str">
            <v xml:space="preserve"> Rachão ou pedra-de-mão produzidos-(const e rest) </v>
          </cell>
          <cell r="V77" t="str">
            <v>m3</v>
          </cell>
          <cell r="W77">
            <v>18.71</v>
          </cell>
        </row>
        <row r="78">
          <cell r="T78" t="str">
            <v>1 A 01 155 51</v>
          </cell>
          <cell r="U78" t="str">
            <v xml:space="preserve"> Rachão ou pedra-de-mão comercial (cont e rest)/ PC</v>
          </cell>
          <cell r="V78" t="str">
            <v xml:space="preserve"> m3 </v>
          </cell>
          <cell r="W78">
            <v>25</v>
          </cell>
        </row>
        <row r="79">
          <cell r="T79" t="str">
            <v>1 A 01 170 01</v>
          </cell>
          <cell r="U79" t="str">
            <v xml:space="preserve"> Areia extraída com escavadeira hidráulica </v>
          </cell>
          <cell r="V79" t="str">
            <v>m3</v>
          </cell>
          <cell r="W79">
            <v>6.1</v>
          </cell>
        </row>
        <row r="80">
          <cell r="T80" t="str">
            <v>1 A 01 170 02</v>
          </cell>
          <cell r="U80" t="str">
            <v xml:space="preserve"> Areia extraída com trator e carregadeira </v>
          </cell>
          <cell r="V80" t="str">
            <v>m3</v>
          </cell>
          <cell r="W80">
            <v>4.88</v>
          </cell>
        </row>
        <row r="81">
          <cell r="T81" t="str">
            <v>1 A 01 170 03</v>
          </cell>
          <cell r="U81" t="str">
            <v xml:space="preserve"> Areia extraída com draga de sucção (tipo bomba) </v>
          </cell>
          <cell r="V81" t="str">
            <v>m3</v>
          </cell>
          <cell r="W81">
            <v>18.079999999999998</v>
          </cell>
        </row>
        <row r="82">
          <cell r="T82" t="str">
            <v>1 A 01 200 01</v>
          </cell>
          <cell r="U82" t="str">
            <v xml:space="preserve"> Brita produzida em central de britagem de 80 m3/h </v>
          </cell>
          <cell r="V82" t="str">
            <v>m3</v>
          </cell>
          <cell r="W82">
            <v>22.63</v>
          </cell>
        </row>
        <row r="83">
          <cell r="T83" t="str">
            <v>1 A 01 200 02</v>
          </cell>
          <cell r="U83" t="str">
            <v xml:space="preserve"> Brita produzida em central de britagem de 30 m3/h</v>
          </cell>
          <cell r="V83" t="str">
            <v xml:space="preserve"> m3</v>
          </cell>
          <cell r="W83">
            <v>28.32</v>
          </cell>
        </row>
        <row r="84">
          <cell r="T84" t="str">
            <v>1 A 01 200 04</v>
          </cell>
          <cell r="U84" t="str">
            <v xml:space="preserve"> Pedra de mão produzida manualmente (consv) </v>
          </cell>
          <cell r="V84" t="str">
            <v>m3</v>
          </cell>
          <cell r="W84">
            <v>33.93</v>
          </cell>
        </row>
        <row r="85">
          <cell r="T85" t="str">
            <v>1 A 01 390 02</v>
          </cell>
          <cell r="U85" t="str">
            <v xml:space="preserve"> Usinagem de CBUQ (capa de rolamento) </v>
          </cell>
          <cell r="V85" t="str">
            <v xml:space="preserve">t </v>
          </cell>
          <cell r="W85">
            <v>31.41</v>
          </cell>
        </row>
        <row r="86">
          <cell r="T86" t="str">
            <v>1 A 01 390 03</v>
          </cell>
          <cell r="U86" t="str">
            <v xml:space="preserve"> Usinagem de CBUQ (binder) </v>
          </cell>
          <cell r="V86" t="str">
            <v>t</v>
          </cell>
          <cell r="W86">
            <v>29.5</v>
          </cell>
        </row>
        <row r="87">
          <cell r="T87" t="str">
            <v>1 A 01 390 52</v>
          </cell>
          <cell r="U87" t="str">
            <v xml:space="preserve"> Usinagem de CBUQ (capa de rolamento) AC/BC</v>
          </cell>
          <cell r="V87" t="str">
            <v>t</v>
          </cell>
          <cell r="W87">
            <v>41.23</v>
          </cell>
        </row>
        <row r="88">
          <cell r="T88" t="str">
            <v>1 A 01 390 53</v>
          </cell>
          <cell r="U88" t="str">
            <v xml:space="preserve"> Usinagem de CBUQ (binder) AC/BC</v>
          </cell>
          <cell r="V88" t="str">
            <v xml:space="preserve"> t </v>
          </cell>
          <cell r="W88">
            <v>39.72</v>
          </cell>
        </row>
        <row r="89">
          <cell r="T89" t="str">
            <v>1 A 01 391 02</v>
          </cell>
          <cell r="U89" t="str">
            <v xml:space="preserve"> Usinagem de areia-asfalto</v>
          </cell>
          <cell r="V89" t="str">
            <v xml:space="preserve"> t</v>
          </cell>
          <cell r="W89">
            <v>35.14</v>
          </cell>
        </row>
        <row r="90">
          <cell r="T90" t="str">
            <v>1 A 01 391 52</v>
          </cell>
          <cell r="U90" t="str">
            <v xml:space="preserve"> Usinagem de areia-asfalto AC</v>
          </cell>
          <cell r="V90" t="str">
            <v xml:space="preserve"> t </v>
          </cell>
          <cell r="W90">
            <v>48.33</v>
          </cell>
        </row>
        <row r="91">
          <cell r="T91" t="str">
            <v>1 A 01 395 01</v>
          </cell>
          <cell r="U91" t="str">
            <v xml:space="preserve"> Usinagem de brita graduada</v>
          </cell>
          <cell r="V91" t="str">
            <v xml:space="preserve"> m3</v>
          </cell>
          <cell r="W91">
            <v>39.229999999999997</v>
          </cell>
        </row>
        <row r="92">
          <cell r="T92" t="str">
            <v>1 A 01 395 02</v>
          </cell>
          <cell r="U92" t="str">
            <v xml:space="preserve"> Usinagem de solo-brita</v>
          </cell>
          <cell r="V92" t="str">
            <v xml:space="preserve"> m3</v>
          </cell>
          <cell r="W92">
            <v>21.57</v>
          </cell>
        </row>
        <row r="93">
          <cell r="T93" t="str">
            <v>1 A 01 395 51</v>
          </cell>
          <cell r="U93" t="str">
            <v xml:space="preserve"> Usinagem de brita graduada BC </v>
          </cell>
          <cell r="V93" t="str">
            <v xml:space="preserve">m3 </v>
          </cell>
          <cell r="W93">
            <v>63.83</v>
          </cell>
        </row>
        <row r="94">
          <cell r="T94" t="str">
            <v>1 A 01 395 52</v>
          </cell>
          <cell r="U94" t="str">
            <v xml:space="preserve"> Usinagem de solo-brita BC </v>
          </cell>
          <cell r="V94" t="str">
            <v xml:space="preserve">m3 </v>
          </cell>
          <cell r="W94">
            <v>31.41</v>
          </cell>
        </row>
        <row r="95">
          <cell r="T95" t="str">
            <v>1 A 01 396 01</v>
          </cell>
          <cell r="U95" t="str">
            <v xml:space="preserve"> Usinagem de solo-cimento</v>
          </cell>
          <cell r="V95" t="str">
            <v xml:space="preserve"> m3 </v>
          </cell>
          <cell r="W95">
            <v>65.91</v>
          </cell>
        </row>
        <row r="96">
          <cell r="T96" t="str">
            <v>1 A 01 396 02</v>
          </cell>
          <cell r="U96" t="str">
            <v xml:space="preserve"> Usinagem de solo melhorado com cimento.</v>
          </cell>
          <cell r="V96" t="str">
            <v xml:space="preserve"> m3 </v>
          </cell>
          <cell r="W96">
            <v>36.65</v>
          </cell>
        </row>
        <row r="97">
          <cell r="T97" t="str">
            <v>1 A 01 397 02</v>
          </cell>
          <cell r="U97" t="str">
            <v xml:space="preserve"> Usinagem de P.M.F. </v>
          </cell>
          <cell r="V97" t="str">
            <v xml:space="preserve">m3 </v>
          </cell>
          <cell r="W97">
            <v>38.06</v>
          </cell>
        </row>
        <row r="98">
          <cell r="T98" t="str">
            <v>1 A 01 397 52</v>
          </cell>
          <cell r="U98" t="str">
            <v xml:space="preserve"> Usinagem de P.M.F. AC/BC</v>
          </cell>
          <cell r="V98" t="str">
            <v xml:space="preserve"> m3 </v>
          </cell>
          <cell r="W98">
            <v>60.73</v>
          </cell>
        </row>
        <row r="99">
          <cell r="T99" t="str">
            <v>1 A 01 398 02</v>
          </cell>
          <cell r="U99" t="str">
            <v xml:space="preserve"> Usinagem de CBUQ p/ reciclagem em usina fixa. </v>
          </cell>
          <cell r="V99" t="str">
            <v>t</v>
          </cell>
          <cell r="W99">
            <v>25.17</v>
          </cell>
        </row>
        <row r="100">
          <cell r="T100" t="str">
            <v>1 A 01 398 52</v>
          </cell>
          <cell r="U100" t="str">
            <v xml:space="preserve"> Usinagem de CBUQ p/ reciclagem em usina fixa BC </v>
          </cell>
          <cell r="V100" t="str">
            <v xml:space="preserve">t </v>
          </cell>
          <cell r="W100">
            <v>30.18</v>
          </cell>
        </row>
        <row r="101">
          <cell r="T101" t="str">
            <v>1 A 01 401 01</v>
          </cell>
          <cell r="U101" t="str">
            <v xml:space="preserve"> Fôrma comum de madeira </v>
          </cell>
          <cell r="V101" t="str">
            <v>m2</v>
          </cell>
          <cell r="W101">
            <v>39.729999999999997</v>
          </cell>
        </row>
        <row r="102">
          <cell r="T102" t="str">
            <v>1 A 01 402 01</v>
          </cell>
          <cell r="U102" t="str">
            <v xml:space="preserve"> Fôrma de placa compensada resinada </v>
          </cell>
          <cell r="V102" t="str">
            <v xml:space="preserve">m2 </v>
          </cell>
          <cell r="W102">
            <v>34.22</v>
          </cell>
        </row>
        <row r="103">
          <cell r="T103" t="str">
            <v>1 A 01 403 01</v>
          </cell>
          <cell r="U103" t="str">
            <v xml:space="preserve"> Fôrma de placa compensada plastificada </v>
          </cell>
          <cell r="V103" t="str">
            <v xml:space="preserve">m2 </v>
          </cell>
          <cell r="W103">
            <v>38.200000000000003</v>
          </cell>
        </row>
        <row r="104">
          <cell r="T104" t="str">
            <v>1 A 01 404 01</v>
          </cell>
          <cell r="U104" t="str">
            <v xml:space="preserve"> Fôrma para tubulão</v>
          </cell>
          <cell r="V104" t="str">
            <v xml:space="preserve"> m2 </v>
          </cell>
          <cell r="W104">
            <v>25.84</v>
          </cell>
        </row>
        <row r="105">
          <cell r="T105" t="str">
            <v>1 A 01 405 01</v>
          </cell>
          <cell r="U105" t="str">
            <v xml:space="preserve"> Andaime de madeira</v>
          </cell>
          <cell r="V105" t="str">
            <v xml:space="preserve"> m3 </v>
          </cell>
          <cell r="W105">
            <v>13.83</v>
          </cell>
        </row>
        <row r="106">
          <cell r="T106" t="str">
            <v>1 A 01 407 01</v>
          </cell>
          <cell r="U106" t="str">
            <v xml:space="preserve"> Confecção e lançam. de concreto magro em betoneira </v>
          </cell>
          <cell r="V106" t="str">
            <v>m3</v>
          </cell>
          <cell r="W106">
            <v>153.66999999999999</v>
          </cell>
        </row>
        <row r="107">
          <cell r="T107" t="str">
            <v>1 A 01 407 51</v>
          </cell>
          <cell r="U107" t="str">
            <v xml:space="preserve"> Conf.e lanç. de concreto magro em betoneira AC/BC </v>
          </cell>
          <cell r="V107" t="str">
            <v>m3</v>
          </cell>
          <cell r="W107">
            <v>178.06</v>
          </cell>
        </row>
        <row r="108">
          <cell r="T108" t="str">
            <v>1 A 01 410 01</v>
          </cell>
          <cell r="U108" t="str">
            <v xml:space="preserve"> Concreto fck=10MPa contr raz uso geral conf e lanç </v>
          </cell>
          <cell r="V108" t="str">
            <v>m3</v>
          </cell>
          <cell r="W108">
            <v>167.36</v>
          </cell>
        </row>
        <row r="109">
          <cell r="T109" t="str">
            <v>1 A 01 410 51</v>
          </cell>
          <cell r="U109" t="str">
            <v xml:space="preserve"> Concr.fck=10MPa c.raz uso ger conf/lanç AC/BC </v>
          </cell>
          <cell r="V109" t="str">
            <v xml:space="preserve">m3 </v>
          </cell>
          <cell r="W109">
            <v>197.87</v>
          </cell>
        </row>
        <row r="110">
          <cell r="T110" t="str">
            <v>1 A 01 412 01</v>
          </cell>
          <cell r="U110" t="str">
            <v xml:space="preserve"> Concreto fck=15MPa contr raz uso geral conf e lanç</v>
          </cell>
          <cell r="V110" t="str">
            <v xml:space="preserve"> m3 </v>
          </cell>
          <cell r="W110">
            <v>180.38</v>
          </cell>
        </row>
        <row r="111">
          <cell r="T111" t="str">
            <v>1 A 01 412 51</v>
          </cell>
          <cell r="U111" t="str">
            <v xml:space="preserve"> Concr.fck=15MPa c.raz uso ger conf/lanç AC/BC </v>
          </cell>
          <cell r="V111" t="str">
            <v>m3</v>
          </cell>
          <cell r="W111">
            <v>210.34</v>
          </cell>
        </row>
        <row r="112">
          <cell r="T112" t="str">
            <v>1 A 01 415 01</v>
          </cell>
          <cell r="U112" t="str">
            <v xml:space="preserve"> Concr estr fck=15MPa contr raz uso ger conf e lanç </v>
          </cell>
          <cell r="V112" t="str">
            <v xml:space="preserve">m3 </v>
          </cell>
          <cell r="W112">
            <v>180.38</v>
          </cell>
        </row>
        <row r="113">
          <cell r="T113" t="str">
            <v>1 A 01 415 51</v>
          </cell>
          <cell r="U113" t="str">
            <v xml:space="preserve"> Concr estr fck=15MPa c.raz uso ger conf/lanç AC/BC </v>
          </cell>
          <cell r="V113" t="str">
            <v xml:space="preserve">m3 </v>
          </cell>
          <cell r="W113">
            <v>210.34</v>
          </cell>
        </row>
        <row r="114">
          <cell r="T114" t="str">
            <v>1 A 01 418 01</v>
          </cell>
          <cell r="U114" t="str">
            <v xml:space="preserve"> Concr estr fck=18MPa contr raz uso ger conf e lanç </v>
          </cell>
          <cell r="V114" t="str">
            <v>m3</v>
          </cell>
          <cell r="W114">
            <v>188.81</v>
          </cell>
        </row>
        <row r="115">
          <cell r="T115" t="str">
            <v>1 A 01 418 51</v>
          </cell>
          <cell r="U115" t="str">
            <v xml:space="preserve"> Concr.estr fck=18MPa c.raz uso ger conf/lanç AC/BC </v>
          </cell>
          <cell r="V115" t="str">
            <v xml:space="preserve">m3 </v>
          </cell>
          <cell r="W115">
            <v>219.32</v>
          </cell>
        </row>
        <row r="116">
          <cell r="T116" t="str">
            <v>1 A 01 422 01</v>
          </cell>
          <cell r="U116" t="str">
            <v xml:space="preserve"> Concr estr fck=25MPa contr raz uso ger conf e lanç </v>
          </cell>
          <cell r="V116" t="str">
            <v>m3</v>
          </cell>
          <cell r="W116">
            <v>206.18</v>
          </cell>
        </row>
        <row r="117">
          <cell r="T117" t="str">
            <v>1 A 01 422 51</v>
          </cell>
          <cell r="U117" t="str">
            <v xml:space="preserve"> Concr.estr.fck=25MPa c.raz uso ger conf/lanç AC/BC </v>
          </cell>
          <cell r="V117" t="str">
            <v xml:space="preserve">m3 </v>
          </cell>
          <cell r="W117">
            <v>234.89</v>
          </cell>
        </row>
        <row r="118">
          <cell r="T118" t="str">
            <v>1 A 01 423 00</v>
          </cell>
          <cell r="U118" t="str">
            <v xml:space="preserve"> Concreto fck=18MPa para pré-moldados (tubos) </v>
          </cell>
          <cell r="V118" t="str">
            <v>m3</v>
          </cell>
          <cell r="W118">
            <v>201.6</v>
          </cell>
        </row>
        <row r="119">
          <cell r="T119" t="str">
            <v>1 A 01 423 50</v>
          </cell>
          <cell r="U119" t="str">
            <v xml:space="preserve"> Concr.fck=18MPa para pré-moldados (tubos) AC/BC </v>
          </cell>
          <cell r="V119" t="str">
            <v xml:space="preserve">m3 </v>
          </cell>
          <cell r="W119">
            <v>224.7</v>
          </cell>
        </row>
        <row r="120">
          <cell r="T120" t="str">
            <v>1 A 01 424 00</v>
          </cell>
          <cell r="U120" t="str">
            <v xml:space="preserve"> Concreto poroso para pré-moldados (tubos) </v>
          </cell>
          <cell r="V120" t="str">
            <v xml:space="preserve">m3 </v>
          </cell>
          <cell r="W120">
            <v>206.56</v>
          </cell>
        </row>
        <row r="121">
          <cell r="T121" t="str">
            <v>1 A 01 424 50</v>
          </cell>
          <cell r="U121" t="str">
            <v xml:space="preserve"> Concreto poroso para pré-moldados (tubos) AC/BC</v>
          </cell>
          <cell r="V121" t="str">
            <v xml:space="preserve"> m3</v>
          </cell>
          <cell r="W121">
            <v>228.77</v>
          </cell>
        </row>
        <row r="122">
          <cell r="T122" t="str">
            <v>1 A 01 450 01</v>
          </cell>
          <cell r="U122" t="str">
            <v xml:space="preserve"> Escoramento de bueiros celulares </v>
          </cell>
          <cell r="V122" t="str">
            <v xml:space="preserve">m3 </v>
          </cell>
          <cell r="W122">
            <v>37.22</v>
          </cell>
        </row>
        <row r="123">
          <cell r="T123" t="str">
            <v>1 A 01 512 10</v>
          </cell>
          <cell r="U123" t="str">
            <v xml:space="preserve"> Concreto ciclópico fck=15 MPa </v>
          </cell>
          <cell r="V123" t="str">
            <v>m3</v>
          </cell>
          <cell r="W123">
            <v>141.84</v>
          </cell>
        </row>
        <row r="124">
          <cell r="T124" t="str">
            <v>1 A 01 512 60</v>
          </cell>
          <cell r="U124" t="str">
            <v xml:space="preserve"> Concreto ciclópico fck=15 MPa AC/BC/PC </v>
          </cell>
          <cell r="V124" t="str">
            <v xml:space="preserve">m3 </v>
          </cell>
          <cell r="W124">
            <v>164.99</v>
          </cell>
        </row>
        <row r="125">
          <cell r="T125" t="str">
            <v>1 A 01 515 10</v>
          </cell>
          <cell r="U125" t="str">
            <v xml:space="preserve"> Concreto ciclópico fck=15 MPa </v>
          </cell>
          <cell r="V125" t="str">
            <v xml:space="preserve">m3 </v>
          </cell>
          <cell r="W125">
            <v>141.84</v>
          </cell>
        </row>
        <row r="126">
          <cell r="T126" t="str">
            <v>1 A 01 515 60</v>
          </cell>
          <cell r="U126" t="str">
            <v xml:space="preserve"> Concreto ciclópico fck=15 MPa AC/BC/PC </v>
          </cell>
          <cell r="V126" t="str">
            <v xml:space="preserve">m3 </v>
          </cell>
          <cell r="W126">
            <v>164.99</v>
          </cell>
        </row>
        <row r="127">
          <cell r="T127" t="str">
            <v>1 A 01 580 01</v>
          </cell>
          <cell r="U127" t="str">
            <v xml:space="preserve"> Fornecimento, preparo e colocação formas aço CA 60 </v>
          </cell>
          <cell r="V127" t="str">
            <v xml:space="preserve">kg </v>
          </cell>
          <cell r="W127">
            <v>6.46</v>
          </cell>
        </row>
        <row r="128">
          <cell r="T128" t="str">
            <v>1 A 01 580 02</v>
          </cell>
          <cell r="U128" t="str">
            <v xml:space="preserve"> Fornecimento, preparo e colocação formas aço CA 50 </v>
          </cell>
          <cell r="V128" t="str">
            <v xml:space="preserve">kg </v>
          </cell>
          <cell r="W128">
            <v>6.14</v>
          </cell>
        </row>
        <row r="129">
          <cell r="T129" t="str">
            <v>1 A 01 580 03</v>
          </cell>
          <cell r="U129" t="str">
            <v xml:space="preserve"> Fornecimento, preparo e colocação formas aço CA 25 </v>
          </cell>
          <cell r="V129" t="str">
            <v>kg</v>
          </cell>
          <cell r="W129">
            <v>6.2</v>
          </cell>
        </row>
        <row r="130">
          <cell r="T130" t="str">
            <v>1 A 01 603 01</v>
          </cell>
          <cell r="U130" t="str">
            <v xml:space="preserve"> Argamassa cimento-areia 1:3 </v>
          </cell>
          <cell r="V130" t="str">
            <v>m3</v>
          </cell>
          <cell r="W130">
            <v>227.15</v>
          </cell>
        </row>
        <row r="131">
          <cell r="T131" t="str">
            <v>1 A 01 603 51</v>
          </cell>
          <cell r="U131" t="str">
            <v xml:space="preserve"> Argamassa cimento-areia 1:3 AC </v>
          </cell>
          <cell r="V131" t="str">
            <v>m3</v>
          </cell>
          <cell r="W131">
            <v>249.15</v>
          </cell>
        </row>
        <row r="132">
          <cell r="T132" t="str">
            <v>1 A 01 604 01</v>
          </cell>
          <cell r="U132" t="str">
            <v xml:space="preserve"> Argamassa cimento-areia 1:4</v>
          </cell>
          <cell r="V132" t="str">
            <v xml:space="preserve"> m3 </v>
          </cell>
          <cell r="W132">
            <v>187.67</v>
          </cell>
        </row>
        <row r="133">
          <cell r="T133" t="str">
            <v>1 A 01 604 51</v>
          </cell>
          <cell r="U133" t="str">
            <v xml:space="preserve"> Argamassa cimento-areia 1:4 AC </v>
          </cell>
          <cell r="V133" t="str">
            <v xml:space="preserve">m3 </v>
          </cell>
          <cell r="W133">
            <v>210.03</v>
          </cell>
        </row>
        <row r="134">
          <cell r="T134" t="str">
            <v>1 A 01 606 01</v>
          </cell>
          <cell r="U134" t="str">
            <v xml:space="preserve"> Argamassa cimento-areia 1:6 </v>
          </cell>
          <cell r="V134" t="str">
            <v>m3</v>
          </cell>
          <cell r="W134">
            <v>156.19999999999999</v>
          </cell>
        </row>
        <row r="135">
          <cell r="T135" t="str">
            <v>1 A 01 606 51</v>
          </cell>
          <cell r="U135" t="str">
            <v xml:space="preserve"> Argamassa cimento-areia 1:6 AC</v>
          </cell>
          <cell r="V135" t="str">
            <v xml:space="preserve"> m3</v>
          </cell>
          <cell r="W135">
            <v>178.2</v>
          </cell>
        </row>
        <row r="136">
          <cell r="T136" t="str">
            <v>1 A 01 620 01</v>
          </cell>
          <cell r="U136" t="str">
            <v xml:space="preserve"> Argamassa cimento-solo 1:10 </v>
          </cell>
          <cell r="V136" t="str">
            <v xml:space="preserve">m3 </v>
          </cell>
          <cell r="W136">
            <v>105.63</v>
          </cell>
        </row>
        <row r="137">
          <cell r="T137" t="str">
            <v>1 A 01 653 00</v>
          </cell>
          <cell r="U137" t="str">
            <v xml:space="preserve"> Usinagem para sub-base de concreto rolado</v>
          </cell>
          <cell r="V137" t="str">
            <v xml:space="preserve"> m3</v>
          </cell>
          <cell r="W137">
            <v>77.91</v>
          </cell>
        </row>
        <row r="138">
          <cell r="T138" t="str">
            <v>1 A 01 653 50</v>
          </cell>
          <cell r="U138" t="str">
            <v xml:space="preserve"> Usinagem p/ sub-base de concreto rolado AC/BC </v>
          </cell>
          <cell r="V138" t="str">
            <v xml:space="preserve">m3 </v>
          </cell>
          <cell r="W138">
            <v>101.28</v>
          </cell>
        </row>
        <row r="139">
          <cell r="T139" t="str">
            <v>1 A 01 654 00</v>
          </cell>
          <cell r="U139" t="str">
            <v xml:space="preserve"> Usinagem p/ sub-base de concr. de cimento portland </v>
          </cell>
          <cell r="V139" t="str">
            <v>m3</v>
          </cell>
          <cell r="W139">
            <v>99.12</v>
          </cell>
        </row>
        <row r="140">
          <cell r="T140" t="str">
            <v>1 A 01 654 50</v>
          </cell>
          <cell r="U140" t="str">
            <v xml:space="preserve"> Usinagem p/sub-base de concr.cimento portl. AC/BC </v>
          </cell>
          <cell r="V140" t="str">
            <v>m3</v>
          </cell>
          <cell r="W140">
            <v>122.49</v>
          </cell>
        </row>
        <row r="141">
          <cell r="T141" t="str">
            <v>1 A 01 656 00</v>
          </cell>
          <cell r="U141" t="str">
            <v xml:space="preserve"> Usinagem p/ conc. de cim. portland c/ forma desliz </v>
          </cell>
          <cell r="V141" t="str">
            <v>m3</v>
          </cell>
          <cell r="W141">
            <v>152.1</v>
          </cell>
        </row>
        <row r="142">
          <cell r="T142" t="str">
            <v>1 A 01 656 01</v>
          </cell>
          <cell r="U142" t="str">
            <v xml:space="preserve"> Usinagem de conc. c/ cim. portland p/ pav. rígido </v>
          </cell>
          <cell r="V142" t="str">
            <v xml:space="preserve">m3 </v>
          </cell>
          <cell r="W142">
            <v>176.64</v>
          </cell>
        </row>
        <row r="143">
          <cell r="T143" t="str">
            <v>1 A 01 656 50</v>
          </cell>
          <cell r="U143" t="str">
            <v xml:space="preserve"> Usinagem p/ conc.cim.portl.c/ forma desliz AC/BC </v>
          </cell>
          <cell r="V143" t="str">
            <v>m3</v>
          </cell>
          <cell r="W143">
            <v>174.6</v>
          </cell>
        </row>
        <row r="144">
          <cell r="T144" t="str">
            <v>1 A 01 656 51</v>
          </cell>
          <cell r="U144" t="str">
            <v xml:space="preserve"> Usinagem de conc. c/ cim. port.p/ pav.rígido AC/BC </v>
          </cell>
          <cell r="V144" t="str">
            <v>m3</v>
          </cell>
          <cell r="W144">
            <v>198.51</v>
          </cell>
        </row>
        <row r="145">
          <cell r="T145" t="str">
            <v>1 A 01 657 00</v>
          </cell>
          <cell r="U145" t="str">
            <v xml:space="preserve"> Usinagem p/ conc.cim. portland c/ equip. peq. por. </v>
          </cell>
          <cell r="V145" t="str">
            <v>m3</v>
          </cell>
          <cell r="W145">
            <v>190.55</v>
          </cell>
        </row>
        <row r="146">
          <cell r="T146" t="str">
            <v>1 A 01 657 50</v>
          </cell>
          <cell r="U146" t="str">
            <v xml:space="preserve"> Usinagem p/conc.cim. portl.c/ equip.peq.por.AC/BC </v>
          </cell>
          <cell r="V146" t="str">
            <v xml:space="preserve">m3 </v>
          </cell>
          <cell r="W146">
            <v>212.47</v>
          </cell>
        </row>
        <row r="147">
          <cell r="T147" t="str">
            <v>1 A 01 700 00</v>
          </cell>
          <cell r="U147" t="str">
            <v xml:space="preserve"> Fabricação de peças pré mold. de conc. p/ pavim. </v>
          </cell>
          <cell r="V147" t="str">
            <v>m3</v>
          </cell>
          <cell r="W147">
            <v>241.69</v>
          </cell>
        </row>
        <row r="148">
          <cell r="T148" t="str">
            <v>1 A 01 700 50</v>
          </cell>
          <cell r="U148" t="str">
            <v xml:space="preserve"> Fabric.de peças pré mold.de conc. p/pavim.AC/BC </v>
          </cell>
          <cell r="V148" t="str">
            <v xml:space="preserve">m3 </v>
          </cell>
          <cell r="W148">
            <v>263.04000000000002</v>
          </cell>
        </row>
        <row r="149">
          <cell r="T149" t="str">
            <v>1 A 01 720 00</v>
          </cell>
          <cell r="U149" t="str">
            <v xml:space="preserve"> Concreto fck=18MPa p/ pré-moldados (guarda-corpo)</v>
          </cell>
          <cell r="V149" t="str">
            <v xml:space="preserve"> m3</v>
          </cell>
          <cell r="W149">
            <v>203.58</v>
          </cell>
        </row>
        <row r="150">
          <cell r="T150" t="str">
            <v>1 A 01 720 01</v>
          </cell>
          <cell r="U150" t="str">
            <v xml:space="preserve"> Guarda-corpo tipo GM, moldado no local </v>
          </cell>
          <cell r="V150" t="str">
            <v>m</v>
          </cell>
          <cell r="W150">
            <v>201.95</v>
          </cell>
        </row>
        <row r="151">
          <cell r="T151" t="str">
            <v>1 A 01 720 02</v>
          </cell>
          <cell r="U151" t="str">
            <v xml:space="preserve"> Fabricação de Guarda-corpo</v>
          </cell>
          <cell r="V151" t="str">
            <v xml:space="preserve"> m </v>
          </cell>
          <cell r="W151">
            <v>36.020000000000003</v>
          </cell>
        </row>
        <row r="152">
          <cell r="T152" t="str">
            <v>1 A 01 720 50</v>
          </cell>
          <cell r="U152" t="str">
            <v xml:space="preserve"> Concr.fck = 18 mPa p/pré-mold.(guarda-corpo)AC/BC</v>
          </cell>
          <cell r="V152" t="str">
            <v xml:space="preserve"> m3</v>
          </cell>
          <cell r="W152">
            <v>226.68</v>
          </cell>
        </row>
        <row r="153">
          <cell r="T153" t="str">
            <v>1 A 01 720 51</v>
          </cell>
          <cell r="U153" t="str">
            <v xml:space="preserve"> Guarda-corpo tipo GM, moldado no local AC/BC </v>
          </cell>
          <cell r="V153" t="str">
            <v>m</v>
          </cell>
          <cell r="W153">
            <v>209.03</v>
          </cell>
        </row>
        <row r="154">
          <cell r="T154" t="str">
            <v>1 A 01 720 52</v>
          </cell>
          <cell r="U154" t="str">
            <v xml:space="preserve"> Fabricação de guarda - corpo AC/BC </v>
          </cell>
          <cell r="V154" t="str">
            <v xml:space="preserve">m </v>
          </cell>
          <cell r="W154">
            <v>0</v>
          </cell>
        </row>
        <row r="155">
          <cell r="T155" t="str">
            <v>1 A 01 725 01</v>
          </cell>
          <cell r="U155" t="str">
            <v xml:space="preserve"> Fabricação de balizador de concreto </v>
          </cell>
          <cell r="V155" t="str">
            <v>um</v>
          </cell>
          <cell r="W155">
            <v>11.58</v>
          </cell>
        </row>
        <row r="156">
          <cell r="T156" t="str">
            <v>1 A 01 725 51</v>
          </cell>
          <cell r="U156" t="str">
            <v xml:space="preserve"> Fabricação de balizador de concreto AC/BC</v>
          </cell>
          <cell r="V156" t="str">
            <v xml:space="preserve"> un </v>
          </cell>
          <cell r="W156">
            <v>11.77</v>
          </cell>
        </row>
        <row r="157">
          <cell r="T157" t="str">
            <v>1 A 01 730 00</v>
          </cell>
          <cell r="U157" t="str">
            <v xml:space="preserve"> Concreto fck=18MPa p/ pré moldados (mourões) </v>
          </cell>
          <cell r="V157" t="str">
            <v>m3</v>
          </cell>
          <cell r="W157">
            <v>187.79</v>
          </cell>
        </row>
        <row r="158">
          <cell r="T158" t="str">
            <v>1 A 01 730 01</v>
          </cell>
          <cell r="U158" t="str">
            <v xml:space="preserve"> Fabr. mourão de concr. esticador seção quad. 15cm</v>
          </cell>
          <cell r="V158" t="str">
            <v xml:space="preserve"> un </v>
          </cell>
          <cell r="W158">
            <v>30.52</v>
          </cell>
        </row>
        <row r="159">
          <cell r="T159" t="str">
            <v>1 A 01 730 02</v>
          </cell>
          <cell r="U159" t="str">
            <v xml:space="preserve"> Fabr. mourão de concr esticador seção triang. 15cm</v>
          </cell>
          <cell r="V159" t="str">
            <v xml:space="preserve"> un </v>
          </cell>
          <cell r="W159">
            <v>20.54</v>
          </cell>
        </row>
        <row r="160">
          <cell r="T160" t="str">
            <v>1 A 01 730 50</v>
          </cell>
          <cell r="U160" t="str">
            <v xml:space="preserve"> Concreto fck=18MPa p/pré moldados (mourões) AC/BC</v>
          </cell>
          <cell r="V160" t="str">
            <v xml:space="preserve"> m3 </v>
          </cell>
          <cell r="W160">
            <v>210.89</v>
          </cell>
        </row>
        <row r="161">
          <cell r="T161" t="str">
            <v>1 A 01 730 51</v>
          </cell>
          <cell r="U161" t="str">
            <v xml:space="preserve"> Fabric.Mourão concr.estic.seção quadr.15cm AC/BC </v>
          </cell>
          <cell r="V161" t="str">
            <v xml:space="preserve">un </v>
          </cell>
          <cell r="W161">
            <v>31.66</v>
          </cell>
        </row>
        <row r="162">
          <cell r="T162" t="str">
            <v>1 A 01 730 52</v>
          </cell>
          <cell r="U162" t="str">
            <v xml:space="preserve"> Fabric.Mourão concr.estic.seção triang.15cm AC/BC </v>
          </cell>
          <cell r="V162" t="str">
            <v xml:space="preserve">un </v>
          </cell>
          <cell r="W162">
            <v>21.11</v>
          </cell>
        </row>
        <row r="163">
          <cell r="T163" t="str">
            <v>1 A 01 735 01</v>
          </cell>
          <cell r="U163" t="str">
            <v xml:space="preserve"> Fabr. mourão de concreto suporte seção quad. 11cm </v>
          </cell>
          <cell r="V163" t="str">
            <v xml:space="preserve">un </v>
          </cell>
          <cell r="W163">
            <v>22.74</v>
          </cell>
        </row>
        <row r="164">
          <cell r="T164" t="str">
            <v>1 A 01 735 02</v>
          </cell>
          <cell r="U164" t="str">
            <v xml:space="preserve"> Fabr. mourão de concr. suporte seção triang. 11cm</v>
          </cell>
          <cell r="V164" t="str">
            <v xml:space="preserve"> un </v>
          </cell>
          <cell r="W164">
            <v>15.68</v>
          </cell>
        </row>
        <row r="165">
          <cell r="T165" t="str">
            <v>1 A 01 735 51</v>
          </cell>
          <cell r="U165" t="str">
            <v xml:space="preserve"> Fabric.Mourão concr.suporte seção quadr.11cm AC/BC </v>
          </cell>
          <cell r="V165" t="str">
            <v xml:space="preserve">un </v>
          </cell>
          <cell r="W165">
            <v>23.32</v>
          </cell>
        </row>
        <row r="166">
          <cell r="T166" t="str">
            <v>1 A 01 735 52</v>
          </cell>
          <cell r="U166" t="str">
            <v xml:space="preserve"> Fabric.Mourão concr.suporte sec.triang.11cm AC/BC </v>
          </cell>
          <cell r="V166" t="str">
            <v xml:space="preserve">un </v>
          </cell>
          <cell r="W166">
            <v>15.98</v>
          </cell>
        </row>
        <row r="167">
          <cell r="T167" t="str">
            <v>1 A 01 739 01</v>
          </cell>
          <cell r="U167" t="str">
            <v xml:space="preserve"> Confecção de tubos de concreto D=0,20m </v>
          </cell>
          <cell r="V167" t="str">
            <v xml:space="preserve">m </v>
          </cell>
          <cell r="W167">
            <v>12.11</v>
          </cell>
        </row>
        <row r="168">
          <cell r="T168" t="str">
            <v>1 A 01 739 51</v>
          </cell>
          <cell r="U168" t="str">
            <v xml:space="preserve"> Confecção de tubos de concreto D=0,20m AC/BC</v>
          </cell>
          <cell r="V168" t="str">
            <v xml:space="preserve"> m</v>
          </cell>
          <cell r="W168">
            <v>12.81</v>
          </cell>
        </row>
        <row r="169">
          <cell r="T169" t="str">
            <v>1 A 01 740 01</v>
          </cell>
          <cell r="U169" t="str">
            <v xml:space="preserve"> Confecção de tubos de concreto perfurado D=0,20m</v>
          </cell>
          <cell r="V169" t="str">
            <v xml:space="preserve"> m </v>
          </cell>
          <cell r="W169">
            <v>12.46</v>
          </cell>
        </row>
        <row r="170">
          <cell r="T170" t="str">
            <v>1 A 01 740 51</v>
          </cell>
          <cell r="U170" t="str">
            <v xml:space="preserve"> Confecção tubos concr.perfurado D=0,20m AC/BC</v>
          </cell>
          <cell r="V170" t="str">
            <v xml:space="preserve"> m </v>
          </cell>
          <cell r="W170">
            <v>13.16</v>
          </cell>
        </row>
        <row r="171">
          <cell r="T171" t="str">
            <v>1 A 01 741 01</v>
          </cell>
          <cell r="U171" t="str">
            <v xml:space="preserve"> Confecção de tubos de concreto poroso D=0,20m</v>
          </cell>
          <cell r="V171" t="str">
            <v xml:space="preserve"> m </v>
          </cell>
          <cell r="W171">
            <v>12.26</v>
          </cell>
        </row>
        <row r="172">
          <cell r="T172" t="str">
            <v>1 A 01 741 51</v>
          </cell>
          <cell r="U172" t="str">
            <v xml:space="preserve"> Confecção de tubos de concr.poroso D=0,20m AC/BC</v>
          </cell>
          <cell r="V172" t="str">
            <v xml:space="preserve"> m</v>
          </cell>
          <cell r="W172">
            <v>12.93</v>
          </cell>
        </row>
        <row r="173">
          <cell r="T173" t="str">
            <v>1 A 01 745 01</v>
          </cell>
          <cell r="U173" t="str">
            <v xml:space="preserve"> Confecção de tubos de concreto D=0,30m</v>
          </cell>
          <cell r="V173" t="str">
            <v xml:space="preserve"> m </v>
          </cell>
          <cell r="W173">
            <v>19.170000000000002</v>
          </cell>
        </row>
        <row r="174">
          <cell r="T174" t="str">
            <v>1 A 01 745 51</v>
          </cell>
          <cell r="U174" t="str">
            <v xml:space="preserve"> Confecção de tubos de concreto D=0,30m AC/BC</v>
          </cell>
          <cell r="V174" t="str">
            <v xml:space="preserve"> m</v>
          </cell>
          <cell r="W174">
            <v>20.440000000000001</v>
          </cell>
        </row>
        <row r="175">
          <cell r="T175" t="str">
            <v>1 A 01 746 01</v>
          </cell>
          <cell r="U175" t="str">
            <v xml:space="preserve"> Confecção de tubos de concreto perfurado D=0,30m</v>
          </cell>
          <cell r="V175" t="str">
            <v xml:space="preserve"> m </v>
          </cell>
          <cell r="W175">
            <v>19.53</v>
          </cell>
        </row>
        <row r="176">
          <cell r="T176" t="str">
            <v>1 A 01 746 51</v>
          </cell>
          <cell r="U176" t="str">
            <v xml:space="preserve"> Confecção de tubos concr.perfurado D=0,30m AC/BC</v>
          </cell>
          <cell r="V176" t="str">
            <v xml:space="preserve"> m </v>
          </cell>
          <cell r="W176">
            <v>20.8</v>
          </cell>
        </row>
        <row r="177">
          <cell r="T177" t="str">
            <v>1 A 01 747 01</v>
          </cell>
          <cell r="U177" t="str">
            <v xml:space="preserve"> Confecção de tubos de concreto poroso D=0,30m</v>
          </cell>
          <cell r="V177" t="str">
            <v xml:space="preserve"> m</v>
          </cell>
          <cell r="W177">
            <v>19.45</v>
          </cell>
        </row>
        <row r="178">
          <cell r="T178" t="str">
            <v>1 A 01 747 51</v>
          </cell>
          <cell r="U178" t="str">
            <v xml:space="preserve"> Confecção de tubos concr.poroso D=0,30m AC/BC</v>
          </cell>
          <cell r="V178" t="str">
            <v xml:space="preserve"> m</v>
          </cell>
          <cell r="W178">
            <v>20.67</v>
          </cell>
        </row>
        <row r="179">
          <cell r="T179" t="str">
            <v>1 A 01 751 01</v>
          </cell>
          <cell r="U179" t="str">
            <v xml:space="preserve"> Confecção de tubos de concreto D=0,40m</v>
          </cell>
          <cell r="V179" t="str">
            <v xml:space="preserve"> m</v>
          </cell>
          <cell r="W179">
            <v>28.09</v>
          </cell>
        </row>
        <row r="180">
          <cell r="T180" t="str">
            <v>1 A 01 751 51</v>
          </cell>
          <cell r="U180" t="str">
            <v xml:space="preserve"> Confecção de tubos de concreto D=0,40m AC/BC</v>
          </cell>
          <cell r="V180" t="str">
            <v xml:space="preserve"> m</v>
          </cell>
          <cell r="W180">
            <v>30.09</v>
          </cell>
        </row>
        <row r="181">
          <cell r="T181" t="str">
            <v>1 A 01 752 01</v>
          </cell>
          <cell r="U181" t="str">
            <v xml:space="preserve"> Confecção de tubos de concreto perfurado D=0,40m </v>
          </cell>
          <cell r="V181" t="str">
            <v xml:space="preserve">m </v>
          </cell>
          <cell r="W181">
            <v>28.45</v>
          </cell>
        </row>
        <row r="182">
          <cell r="T182" t="str">
            <v>1 A 01 752 51</v>
          </cell>
          <cell r="U182" t="str">
            <v xml:space="preserve"> Confecção de tubos concr.perfurado D=0,40m AC/BC</v>
          </cell>
          <cell r="V182" t="str">
            <v xml:space="preserve"> m</v>
          </cell>
          <cell r="W182">
            <v>30.45</v>
          </cell>
        </row>
        <row r="183">
          <cell r="T183" t="str">
            <v>1 A 01 753 01</v>
          </cell>
          <cell r="U183" t="str">
            <v xml:space="preserve"> Confecção de tubos de concreto poroso D=0,40m </v>
          </cell>
          <cell r="V183" t="str">
            <v xml:space="preserve">m </v>
          </cell>
          <cell r="W183">
            <v>28.52</v>
          </cell>
        </row>
        <row r="184">
          <cell r="T184" t="str">
            <v>1 A 01 753 51</v>
          </cell>
          <cell r="U184" t="str">
            <v xml:space="preserve"> Confecção de tubos concr.poroso D=0,40m AC/BC </v>
          </cell>
          <cell r="V184" t="str">
            <v xml:space="preserve">m </v>
          </cell>
          <cell r="W184">
            <v>30.45</v>
          </cell>
        </row>
        <row r="185">
          <cell r="T185" t="str">
            <v>1 A 01 755 01</v>
          </cell>
          <cell r="U185" t="str">
            <v xml:space="preserve"> Confecção de tubos de concreto armado D=0,60m CA-4</v>
          </cell>
          <cell r="V185" t="str">
            <v xml:space="preserve"> m</v>
          </cell>
          <cell r="W185">
            <v>132.72</v>
          </cell>
        </row>
        <row r="186">
          <cell r="T186" t="str">
            <v>1 A 01 755 51</v>
          </cell>
          <cell r="U186" t="str">
            <v xml:space="preserve"> Confecção de tubos concr.armado D=0,60m CA-4 AC/BC </v>
          </cell>
          <cell r="V186" t="str">
            <v xml:space="preserve">m </v>
          </cell>
          <cell r="W186">
            <v>136.66999999999999</v>
          </cell>
        </row>
        <row r="187">
          <cell r="T187" t="str">
            <v>1 A 01 760 01</v>
          </cell>
          <cell r="U187" t="str">
            <v xml:space="preserve"> Confecção de tubos de concreto armado D=0,80m CA-4</v>
          </cell>
          <cell r="V187" t="str">
            <v xml:space="preserve"> m</v>
          </cell>
          <cell r="W187">
            <v>200.78</v>
          </cell>
        </row>
        <row r="188">
          <cell r="T188" t="str">
            <v>1 A 01 760 51</v>
          </cell>
          <cell r="U188" t="str">
            <v xml:space="preserve"> Confecção de tubos concr.armado D=0,80m CA-4 AC/BC </v>
          </cell>
          <cell r="V188" t="str">
            <v xml:space="preserve">m </v>
          </cell>
          <cell r="W188">
            <v>207.31</v>
          </cell>
        </row>
        <row r="189">
          <cell r="T189" t="str">
            <v>1 A 01 765 01</v>
          </cell>
          <cell r="U189" t="str">
            <v xml:space="preserve"> Confecção de tubos de concreto armado D=1,00m CA-4 </v>
          </cell>
          <cell r="V189" t="str">
            <v xml:space="preserve">m </v>
          </cell>
          <cell r="W189">
            <v>303.08999999999997</v>
          </cell>
        </row>
        <row r="190">
          <cell r="T190" t="str">
            <v>1 A 01 765 51</v>
          </cell>
          <cell r="U190" t="str">
            <v xml:space="preserve"> Confecção de tubos concr.armado D=1,00m CA-4 AC/BC </v>
          </cell>
          <cell r="V190" t="str">
            <v xml:space="preserve">m </v>
          </cell>
          <cell r="W190">
            <v>312.83999999999997</v>
          </cell>
        </row>
        <row r="191">
          <cell r="T191" t="str">
            <v>1 A 01 770 01</v>
          </cell>
          <cell r="U191" t="str">
            <v xml:space="preserve"> Confecção de tubos de concreto armado D=1,20m CA-4 </v>
          </cell>
          <cell r="V191" t="str">
            <v>m</v>
          </cell>
          <cell r="W191">
            <v>427.23</v>
          </cell>
        </row>
        <row r="192">
          <cell r="T192" t="str">
            <v>1 A 01 770 51</v>
          </cell>
          <cell r="U192" t="str">
            <v xml:space="preserve"> Confecção de tubos concr.armado D=1,20m CA-4 AC/BC </v>
          </cell>
          <cell r="V192" t="str">
            <v xml:space="preserve">m </v>
          </cell>
          <cell r="W192">
            <v>439.77</v>
          </cell>
        </row>
        <row r="193">
          <cell r="T193" t="str">
            <v>1 A 01 775 01</v>
          </cell>
          <cell r="U193" t="str">
            <v xml:space="preserve"> Confecção de tubos de concreto armado D=1,50m CA-4 </v>
          </cell>
          <cell r="V193" t="str">
            <v>m</v>
          </cell>
          <cell r="W193">
            <v>679.03</v>
          </cell>
        </row>
        <row r="194">
          <cell r="T194" t="str">
            <v>1 A 01 775 51</v>
          </cell>
          <cell r="U194" t="str">
            <v xml:space="preserve"> Confecção de tubos concr.armado D=1,50m CA-4 AC/BC </v>
          </cell>
          <cell r="V194" t="str">
            <v xml:space="preserve">m </v>
          </cell>
          <cell r="W194">
            <v>695.69</v>
          </cell>
        </row>
        <row r="195">
          <cell r="T195" t="str">
            <v>1 A 01 780 01</v>
          </cell>
          <cell r="U195" t="str">
            <v xml:space="preserve"> Obtenção de grama para replantio</v>
          </cell>
          <cell r="V195" t="str">
            <v xml:space="preserve"> m2 </v>
          </cell>
          <cell r="W195">
            <v>1.07</v>
          </cell>
        </row>
        <row r="196">
          <cell r="T196" t="str">
            <v>1 A 01 790 01</v>
          </cell>
          <cell r="U196" t="str">
            <v xml:space="preserve"> Guia de madeira - 2,5 x 7,0 cm</v>
          </cell>
          <cell r="V196" t="str">
            <v xml:space="preserve"> m</v>
          </cell>
          <cell r="W196">
            <v>1.79</v>
          </cell>
        </row>
        <row r="197">
          <cell r="T197" t="str">
            <v>1 A 01 790 02</v>
          </cell>
          <cell r="U197" t="str">
            <v xml:space="preserve"> Guia de madeira - 2,5 x 10,0 cm</v>
          </cell>
          <cell r="V197" t="str">
            <v xml:space="preserve"> m </v>
          </cell>
          <cell r="W197">
            <v>1.39</v>
          </cell>
        </row>
        <row r="198">
          <cell r="T198" t="str">
            <v>1 A 01 800 01</v>
          </cell>
          <cell r="U198" t="str">
            <v xml:space="preserve"> Recuperação de chapa para placa de sinalização</v>
          </cell>
          <cell r="V198" t="str">
            <v xml:space="preserve"> m2</v>
          </cell>
          <cell r="W198">
            <v>23.8</v>
          </cell>
        </row>
        <row r="199">
          <cell r="T199" t="str">
            <v>1 A 01 810 01</v>
          </cell>
          <cell r="U199" t="str">
            <v xml:space="preserve"> Calha metálica semi-circular D=0,40 m </v>
          </cell>
          <cell r="V199" t="str">
            <v xml:space="preserve">m </v>
          </cell>
          <cell r="W199">
            <v>166.05</v>
          </cell>
        </row>
        <row r="200">
          <cell r="T200" t="str">
            <v>1 A 01 850 01</v>
          </cell>
          <cell r="U200" t="str">
            <v xml:space="preserve"> Confecção de placa de sinalização semi-refletiva </v>
          </cell>
          <cell r="V200" t="str">
            <v xml:space="preserve">m2 </v>
          </cell>
          <cell r="W200">
            <v>157.86000000000001</v>
          </cell>
        </row>
        <row r="201">
          <cell r="T201" t="str">
            <v>1 A 01 860 01</v>
          </cell>
          <cell r="U201" t="str">
            <v xml:space="preserve"> Confecção de placa de sinalização tot. refletiva </v>
          </cell>
          <cell r="V201" t="str">
            <v>m2</v>
          </cell>
          <cell r="W201">
            <v>211.27</v>
          </cell>
        </row>
        <row r="202">
          <cell r="T202" t="str">
            <v>1 A 01 870 01</v>
          </cell>
          <cell r="U202" t="str">
            <v xml:space="preserve"> Confecção de suporte e travessa p/ placa de sinal.</v>
          </cell>
          <cell r="V202" t="str">
            <v xml:space="preserve"> un </v>
          </cell>
          <cell r="W202">
            <v>23.25</v>
          </cell>
        </row>
        <row r="203">
          <cell r="T203" t="str">
            <v>1 A 01 890 01</v>
          </cell>
          <cell r="U203" t="str">
            <v xml:space="preserve"> Escavação manual em material de 1a categoria </v>
          </cell>
          <cell r="V203" t="str">
            <v xml:space="preserve">m3 </v>
          </cell>
          <cell r="W203">
            <v>22.89</v>
          </cell>
        </row>
        <row r="204">
          <cell r="T204" t="str">
            <v>1 A 01 891 01</v>
          </cell>
          <cell r="U204" t="str">
            <v xml:space="preserve"> Escavação manual de vala em material de 1a cat. </v>
          </cell>
          <cell r="V204" t="str">
            <v xml:space="preserve">m3 </v>
          </cell>
          <cell r="W204">
            <v>26.43</v>
          </cell>
        </row>
        <row r="205">
          <cell r="T205" t="str">
            <v>1 A 01 892 01</v>
          </cell>
          <cell r="U205" t="str">
            <v xml:space="preserve"> Escavação mecânica de vala em material de 1a cat. </v>
          </cell>
          <cell r="V205" t="str">
            <v xml:space="preserve">m3 </v>
          </cell>
          <cell r="W205">
            <v>4.03</v>
          </cell>
        </row>
        <row r="206">
          <cell r="T206" t="str">
            <v>1 A 01 893 01</v>
          </cell>
          <cell r="U206" t="str">
            <v xml:space="preserve"> Compactação manual </v>
          </cell>
          <cell r="V206" t="str">
            <v xml:space="preserve">m3 </v>
          </cell>
          <cell r="W206">
            <v>9.32</v>
          </cell>
        </row>
        <row r="207">
          <cell r="T207" t="str">
            <v>1 A 01 893 02</v>
          </cell>
          <cell r="U207" t="str">
            <v xml:space="preserve"> Reaterro e compactação</v>
          </cell>
          <cell r="V207" t="str">
            <v xml:space="preserve"> m3 </v>
          </cell>
          <cell r="W207">
            <v>17.52</v>
          </cell>
        </row>
        <row r="208">
          <cell r="T208" t="str">
            <v>1 A 01 894 01</v>
          </cell>
          <cell r="U208" t="str">
            <v xml:space="preserve"> Lastro de brita</v>
          </cell>
          <cell r="V208" t="str">
            <v xml:space="preserve"> m3 </v>
          </cell>
          <cell r="W208">
            <v>33.56</v>
          </cell>
        </row>
        <row r="209">
          <cell r="T209" t="str">
            <v>1 A 01 894 51</v>
          </cell>
          <cell r="U209" t="str">
            <v xml:space="preserve"> Lastro de brita BC </v>
          </cell>
          <cell r="V209" t="str">
            <v>m3</v>
          </cell>
          <cell r="W209">
            <v>52.01</v>
          </cell>
        </row>
        <row r="210">
          <cell r="T210" t="str">
            <v>1 A 02 702 00</v>
          </cell>
          <cell r="U210" t="str">
            <v xml:space="preserve"> Limpeza e enchim. junta pav. concr.(const e rest)</v>
          </cell>
          <cell r="V210" t="str">
            <v xml:space="preserve"> m</v>
          </cell>
          <cell r="W210">
            <v>1.98</v>
          </cell>
        </row>
        <row r="211">
          <cell r="T211" t="str">
            <v>1 A 99 001 00</v>
          </cell>
          <cell r="U211" t="str">
            <v xml:space="preserve"> Mistura areia-asfalto usinada a frio</v>
          </cell>
          <cell r="V211" t="str">
            <v xml:space="preserve"> m3 </v>
          </cell>
          <cell r="W211">
            <v>0</v>
          </cell>
        </row>
        <row r="212">
          <cell r="T212" t="str">
            <v>1 A 99 002 00</v>
          </cell>
          <cell r="U212" t="str">
            <v xml:space="preserve"> Mistura areia-asfalto usinada a quente</v>
          </cell>
          <cell r="V212" t="str">
            <v xml:space="preserve"> m3</v>
          </cell>
          <cell r="W212">
            <v>0</v>
          </cell>
        </row>
        <row r="213">
          <cell r="T213" t="str">
            <v>1 A 99 003 00</v>
          </cell>
          <cell r="U213" t="str">
            <v xml:space="preserve"> Mistura betuminosa usinada a frio </v>
          </cell>
          <cell r="V213" t="str">
            <v xml:space="preserve">m3 </v>
          </cell>
          <cell r="W213">
            <v>0</v>
          </cell>
        </row>
        <row r="214">
          <cell r="T214" t="str">
            <v>1 A 99 004 00</v>
          </cell>
          <cell r="U214" t="str">
            <v xml:space="preserve"> Mistura betuminosa usinada a quente </v>
          </cell>
          <cell r="V214" t="str">
            <v xml:space="preserve">m3 </v>
          </cell>
          <cell r="W214">
            <v>0</v>
          </cell>
        </row>
        <row r="215">
          <cell r="T215" t="str">
            <v>1 A 99 005 00</v>
          </cell>
          <cell r="U215" t="str">
            <v xml:space="preserve"> Mistura betuminosa </v>
          </cell>
          <cell r="V215" t="str">
            <v xml:space="preserve">m3 </v>
          </cell>
          <cell r="W21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por serv princ"/>
      <sheetName val="Orçamento"/>
      <sheetName val="PATO"/>
      <sheetName val="Transp basc 5m3"/>
      <sheetName val="Transp carroceria"/>
      <sheetName val="Transp carroceria com"/>
      <sheetName val="Transp Mat. para Remendos"/>
      <sheetName val="Consumo e Tansp. mat. bet."/>
      <sheetName val="CRONOGRAMA"/>
      <sheetName val="Gráfico"/>
      <sheetName val="02.510.01"/>
      <sheetName val="02.511.01"/>
      <sheetName val="02.530.01"/>
      <sheetName val="03.329.00"/>
      <sheetName val="08.404.00"/>
      <sheetName val="E412"/>
      <sheetName val="Simulação"/>
      <sheetName val="dez00"/>
      <sheetName val="Mão de Obra"/>
      <sheetName val="Material"/>
      <sheetName val="EQUIPAMENTO"/>
      <sheetName val="Consumo e Tansp. mat. be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F1">
            <v>36861</v>
          </cell>
        </row>
        <row r="3">
          <cell r="A3" t="str">
            <v>1 A 01 170 02</v>
          </cell>
          <cell r="B3" t="str">
            <v>Areia extraída com trator e carregadeira</v>
          </cell>
          <cell r="C3" t="str">
            <v>m3</v>
          </cell>
          <cell r="D3">
            <v>2.63</v>
          </cell>
          <cell r="E3">
            <v>0</v>
          </cell>
          <cell r="F3">
            <v>2.63</v>
          </cell>
        </row>
        <row r="4">
          <cell r="A4" t="str">
            <v>3 S 01 200 00</v>
          </cell>
          <cell r="B4" t="str">
            <v>Escavação e carga mat. jazida (consv)</v>
          </cell>
          <cell r="C4" t="str">
            <v>m3</v>
          </cell>
          <cell r="D4">
            <v>3.59</v>
          </cell>
          <cell r="E4">
            <v>1.17</v>
          </cell>
          <cell r="F4">
            <v>4.76</v>
          </cell>
        </row>
        <row r="5">
          <cell r="A5" t="str">
            <v>3 S 01 401 00</v>
          </cell>
          <cell r="B5" t="str">
            <v>Recomposição de revestimento primário</v>
          </cell>
          <cell r="C5" t="str">
            <v>m3</v>
          </cell>
          <cell r="D5">
            <v>5.37</v>
          </cell>
          <cell r="E5">
            <v>1.75</v>
          </cell>
          <cell r="F5">
            <v>7.12</v>
          </cell>
        </row>
        <row r="6">
          <cell r="A6" t="str">
            <v>3 S 01 930 00</v>
          </cell>
          <cell r="B6" t="str">
            <v>Regularização mecânica da faixa de domínio</v>
          </cell>
          <cell r="C6" t="str">
            <v>m2</v>
          </cell>
          <cell r="D6">
            <v>0.08</v>
          </cell>
          <cell r="E6">
            <v>0.02</v>
          </cell>
          <cell r="F6">
            <v>0.11</v>
          </cell>
        </row>
        <row r="7">
          <cell r="A7" t="str">
            <v>3 S 02 200 00</v>
          </cell>
          <cell r="B7" t="str">
            <v>Solo p/ base de remendo profundo</v>
          </cell>
          <cell r="C7" t="str">
            <v>m3</v>
          </cell>
          <cell r="D7">
            <v>4.13</v>
          </cell>
          <cell r="E7">
            <v>1.34</v>
          </cell>
          <cell r="F7">
            <v>5.48</v>
          </cell>
        </row>
        <row r="8">
          <cell r="A8" t="str">
            <v>3 S 02 200 01</v>
          </cell>
          <cell r="B8" t="str">
            <v>Recomposição de camada granular do pavimento</v>
          </cell>
          <cell r="C8" t="str">
            <v>m3</v>
          </cell>
          <cell r="D8">
            <v>6.28</v>
          </cell>
          <cell r="E8">
            <v>2.04</v>
          </cell>
          <cell r="F8">
            <v>8.33</v>
          </cell>
        </row>
        <row r="9">
          <cell r="A9" t="str">
            <v>3 S 02 220 00</v>
          </cell>
          <cell r="B9" t="str">
            <v>Solo brita p/ base de rem. profundo</v>
          </cell>
          <cell r="C9" t="str">
            <v>m3</v>
          </cell>
          <cell r="D9">
            <v>9.9600000000000009</v>
          </cell>
          <cell r="E9">
            <v>3.24</v>
          </cell>
          <cell r="F9">
            <v>13.21</v>
          </cell>
        </row>
        <row r="10">
          <cell r="A10" t="str">
            <v>3 S 02 230 00</v>
          </cell>
          <cell r="B10" t="str">
            <v>Brita para base de remendo profundo</v>
          </cell>
          <cell r="C10" t="str">
            <v>m3</v>
          </cell>
          <cell r="D10">
            <v>22.27</v>
          </cell>
          <cell r="E10">
            <v>7.24</v>
          </cell>
          <cell r="F10">
            <v>29.51</v>
          </cell>
        </row>
        <row r="11">
          <cell r="A11" t="str">
            <v>3 S 02 241 00</v>
          </cell>
          <cell r="B11" t="str">
            <v>Solo melhorado c/ cimento p/ base rem. profundo</v>
          </cell>
          <cell r="C11" t="str">
            <v>m3</v>
          </cell>
          <cell r="D11">
            <v>16.32</v>
          </cell>
          <cell r="E11">
            <v>5.31</v>
          </cell>
          <cell r="F11">
            <v>21.64</v>
          </cell>
        </row>
        <row r="12">
          <cell r="A12" t="str">
            <v>3 S 02 300 00</v>
          </cell>
          <cell r="B12" t="str">
            <v>Imprimação</v>
          </cell>
          <cell r="C12" t="str">
            <v>m2</v>
          </cell>
          <cell r="D12">
            <v>0.06</v>
          </cell>
          <cell r="E12">
            <v>0.02</v>
          </cell>
          <cell r="F12">
            <v>0.09</v>
          </cell>
        </row>
        <row r="13">
          <cell r="A13" t="str">
            <v>3 S 02 400 00</v>
          </cell>
          <cell r="B13" t="str">
            <v>Pintura de ligação</v>
          </cell>
          <cell r="C13" t="str">
            <v>m2</v>
          </cell>
          <cell r="D13">
            <v>0.04</v>
          </cell>
          <cell r="E13">
            <v>0.01</v>
          </cell>
          <cell r="F13">
            <v>0.06</v>
          </cell>
        </row>
        <row r="14">
          <cell r="A14" t="str">
            <v>3 S 02 500 00</v>
          </cell>
          <cell r="B14" t="str">
            <v>Capa selante com pedrisco</v>
          </cell>
          <cell r="C14" t="str">
            <v>m2</v>
          </cell>
          <cell r="D14">
            <v>0.19</v>
          </cell>
          <cell r="E14">
            <v>0.06</v>
          </cell>
          <cell r="F14">
            <v>0.25</v>
          </cell>
        </row>
        <row r="15">
          <cell r="A15" t="str">
            <v>3 S 02 500 01</v>
          </cell>
          <cell r="B15" t="str">
            <v>Capa selante com areia</v>
          </cell>
          <cell r="C15" t="str">
            <v>m2</v>
          </cell>
          <cell r="D15">
            <v>0.1</v>
          </cell>
          <cell r="E15">
            <v>0.03</v>
          </cell>
          <cell r="F15">
            <v>0.13</v>
          </cell>
        </row>
        <row r="16">
          <cell r="A16" t="str">
            <v>3 S 02 500 02</v>
          </cell>
          <cell r="B16" t="str">
            <v>Tratamento superficial simples com CAP</v>
          </cell>
          <cell r="C16" t="str">
            <v>m2</v>
          </cell>
          <cell r="D16">
            <v>0.27</v>
          </cell>
          <cell r="E16">
            <v>0.08</v>
          </cell>
          <cell r="F16">
            <v>0.36</v>
          </cell>
        </row>
        <row r="17">
          <cell r="A17" t="str">
            <v>3 S 02 500 03</v>
          </cell>
          <cell r="B17" t="str">
            <v>Tratamento superficial simples com emulsão</v>
          </cell>
          <cell r="C17" t="str">
            <v>m2</v>
          </cell>
          <cell r="D17">
            <v>0.25</v>
          </cell>
          <cell r="E17">
            <v>0.08</v>
          </cell>
          <cell r="F17">
            <v>0.34</v>
          </cell>
        </row>
        <row r="18">
          <cell r="A18" t="str">
            <v>3 S 02 500 04</v>
          </cell>
          <cell r="B18" t="str">
            <v>Tratamento superficial simples c/ banho diluído</v>
          </cell>
          <cell r="C18" t="str">
            <v>m2</v>
          </cell>
          <cell r="D18">
            <v>0.28000000000000003</v>
          </cell>
          <cell r="E18">
            <v>0.09</v>
          </cell>
          <cell r="F18">
            <v>0.38</v>
          </cell>
        </row>
        <row r="19">
          <cell r="A19" t="str">
            <v>3 S 02 501 00</v>
          </cell>
          <cell r="B19" t="str">
            <v>Tratamento superficial duplo c/ CAP</v>
          </cell>
          <cell r="C19" t="str">
            <v>m2</v>
          </cell>
          <cell r="D19">
            <v>0.81</v>
          </cell>
          <cell r="E19">
            <v>0.26</v>
          </cell>
          <cell r="F19">
            <v>1.08</v>
          </cell>
        </row>
        <row r="20">
          <cell r="A20" t="str">
            <v>3 S 02 501 01</v>
          </cell>
          <cell r="B20" t="str">
            <v>Tratamento superficial duplo com emulsão</v>
          </cell>
          <cell r="C20" t="str">
            <v>m2</v>
          </cell>
          <cell r="D20">
            <v>0.81</v>
          </cell>
          <cell r="E20">
            <v>0.26</v>
          </cell>
          <cell r="F20">
            <v>1.07</v>
          </cell>
        </row>
        <row r="21">
          <cell r="A21" t="str">
            <v>3 S 02 501 02</v>
          </cell>
          <cell r="B21" t="str">
            <v>Tratamento superficial duplo com banho diluído</v>
          </cell>
          <cell r="C21" t="str">
            <v>m2</v>
          </cell>
          <cell r="D21">
            <v>0.87</v>
          </cell>
          <cell r="E21">
            <v>0.28000000000000003</v>
          </cell>
          <cell r="F21">
            <v>1.1599999999999999</v>
          </cell>
        </row>
        <row r="22">
          <cell r="A22" t="str">
            <v>3 S 02 502 00</v>
          </cell>
          <cell r="B22" t="str">
            <v>Tratamento superficial triplo com CAP</v>
          </cell>
          <cell r="C22" t="str">
            <v>m2</v>
          </cell>
          <cell r="D22">
            <v>1.1499999999999999</v>
          </cell>
          <cell r="E22">
            <v>0.37</v>
          </cell>
          <cell r="F22">
            <v>1.53</v>
          </cell>
        </row>
        <row r="23">
          <cell r="A23" t="str">
            <v>3 S 02 502 01</v>
          </cell>
          <cell r="B23" t="str">
            <v>Tratamento superficial triplo com emulsão</v>
          </cell>
          <cell r="C23" t="str">
            <v>m2</v>
          </cell>
          <cell r="D23">
            <v>1.17</v>
          </cell>
          <cell r="E23">
            <v>0.38</v>
          </cell>
          <cell r="F23">
            <v>1.55</v>
          </cell>
        </row>
        <row r="24">
          <cell r="A24" t="str">
            <v>3 S 02 502 02</v>
          </cell>
          <cell r="B24" t="str">
            <v>Tratamento superficial triplo com banho diluído</v>
          </cell>
          <cell r="C24" t="str">
            <v>m2</v>
          </cell>
          <cell r="D24">
            <v>1.24</v>
          </cell>
          <cell r="E24">
            <v>0.4</v>
          </cell>
          <cell r="F24">
            <v>1.65</v>
          </cell>
        </row>
        <row r="25">
          <cell r="A25" t="str">
            <v>3 S 02 510 00</v>
          </cell>
          <cell r="B25" t="str">
            <v>Lama asfáltica fina (granulometrias I e II )</v>
          </cell>
          <cell r="C25" t="str">
            <v>m2</v>
          </cell>
          <cell r="D25">
            <v>0.28000000000000003</v>
          </cell>
          <cell r="E25">
            <v>0.09</v>
          </cell>
          <cell r="F25">
            <v>0.37</v>
          </cell>
        </row>
        <row r="26">
          <cell r="A26" t="str">
            <v>3 S 02 510 01</v>
          </cell>
          <cell r="B26" t="str">
            <v>Lama asfáltica grossa (granulometrias III e IV)</v>
          </cell>
          <cell r="C26" t="str">
            <v>m2</v>
          </cell>
          <cell r="D26">
            <v>0.5</v>
          </cell>
          <cell r="E26">
            <v>0.16</v>
          </cell>
          <cell r="F26">
            <v>0.67</v>
          </cell>
        </row>
        <row r="27">
          <cell r="A27" t="str">
            <v>3 S 02 520 00</v>
          </cell>
          <cell r="B27" t="str">
            <v>Mistura areia-asfalto em betoneira</v>
          </cell>
          <cell r="C27" t="str">
            <v>m3</v>
          </cell>
          <cell r="D27">
            <v>14.69</v>
          </cell>
          <cell r="E27">
            <v>4.78</v>
          </cell>
          <cell r="F27">
            <v>19.47</v>
          </cell>
        </row>
        <row r="28">
          <cell r="A28" t="str">
            <v>3 S 02 520 01</v>
          </cell>
          <cell r="B28" t="str">
            <v>Mistura areia-asfalto usinada a frio</v>
          </cell>
          <cell r="C28" t="str">
            <v>m3</v>
          </cell>
          <cell r="D28">
            <v>9.6</v>
          </cell>
          <cell r="E28">
            <v>3.12</v>
          </cell>
          <cell r="F28">
            <v>12.72</v>
          </cell>
        </row>
        <row r="29">
          <cell r="A29" t="str">
            <v>3 S 02 520 02</v>
          </cell>
          <cell r="B29" t="str">
            <v>Rec.do rev. com areia asfalto a frio</v>
          </cell>
          <cell r="C29" t="str">
            <v>m3</v>
          </cell>
          <cell r="D29">
            <v>11.17</v>
          </cell>
          <cell r="E29">
            <v>3.63</v>
          </cell>
          <cell r="F29">
            <v>14.8</v>
          </cell>
        </row>
        <row r="30">
          <cell r="A30" t="str">
            <v>3 S 02 521 00</v>
          </cell>
          <cell r="B30" t="str">
            <v>Mistura areia-asfalto usinada a quente</v>
          </cell>
          <cell r="C30" t="str">
            <v>m3</v>
          </cell>
          <cell r="D30">
            <v>27.74</v>
          </cell>
          <cell r="E30">
            <v>9.02</v>
          </cell>
          <cell r="F30">
            <v>36.770000000000003</v>
          </cell>
        </row>
        <row r="31">
          <cell r="A31" t="str">
            <v>3 S 02 521 01</v>
          </cell>
          <cell r="B31" t="str">
            <v>Rec. do rev. com areia asfalto a quente</v>
          </cell>
          <cell r="C31" t="str">
            <v>m3</v>
          </cell>
          <cell r="D31">
            <v>7.67</v>
          </cell>
          <cell r="E31">
            <v>2.4900000000000002</v>
          </cell>
          <cell r="F31">
            <v>10.16</v>
          </cell>
        </row>
        <row r="32">
          <cell r="A32" t="str">
            <v>3 S 02 530 00</v>
          </cell>
          <cell r="B32" t="str">
            <v>Mistura betuminosa em betoneira</v>
          </cell>
          <cell r="C32" t="str">
            <v>m3</v>
          </cell>
          <cell r="D32">
            <v>21.48</v>
          </cell>
          <cell r="E32">
            <v>6.99</v>
          </cell>
          <cell r="F32">
            <v>28.47</v>
          </cell>
        </row>
        <row r="33">
          <cell r="A33" t="str">
            <v>3 S 02 530 01</v>
          </cell>
          <cell r="B33" t="str">
            <v>Mistura betuminosa usinada a frio</v>
          </cell>
          <cell r="C33" t="str">
            <v>m3</v>
          </cell>
          <cell r="D33">
            <v>20.29</v>
          </cell>
          <cell r="E33">
            <v>6.6</v>
          </cell>
          <cell r="F33">
            <v>26.89</v>
          </cell>
        </row>
        <row r="34">
          <cell r="A34" t="str">
            <v>3 S 02 530 02</v>
          </cell>
          <cell r="B34" t="str">
            <v>Rec.do rev. com mistura betuminosa a frio</v>
          </cell>
          <cell r="C34" t="str">
            <v>m3</v>
          </cell>
          <cell r="D34">
            <v>12.63</v>
          </cell>
          <cell r="E34">
            <v>4.1100000000000003</v>
          </cell>
          <cell r="F34">
            <v>16.739999999999998</v>
          </cell>
        </row>
        <row r="35">
          <cell r="A35" t="str">
            <v>3 S 02 540 00</v>
          </cell>
          <cell r="B35" t="str">
            <v>Mistura betuminosa usinada a quente</v>
          </cell>
          <cell r="C35" t="str">
            <v>m3</v>
          </cell>
          <cell r="D35">
            <v>42.89</v>
          </cell>
          <cell r="E35">
            <v>13.96</v>
          </cell>
          <cell r="F35">
            <v>56.85</v>
          </cell>
        </row>
        <row r="36">
          <cell r="A36" t="str">
            <v>3 S 02 540 01</v>
          </cell>
          <cell r="B36" t="str">
            <v>Rec.do rev.com mistura betuminosa a quente</v>
          </cell>
          <cell r="C36" t="str">
            <v>m3</v>
          </cell>
          <cell r="D36">
            <v>8.8699999999999992</v>
          </cell>
          <cell r="E36">
            <v>2.88</v>
          </cell>
          <cell r="F36">
            <v>11.76</v>
          </cell>
        </row>
        <row r="37">
          <cell r="A37" t="str">
            <v>3 S 02 601 00</v>
          </cell>
          <cell r="B37" t="str">
            <v>Recomposição de placa de concreto</v>
          </cell>
          <cell r="C37" t="str">
            <v>m3</v>
          </cell>
          <cell r="D37">
            <v>102.55</v>
          </cell>
          <cell r="E37">
            <v>33.380000000000003</v>
          </cell>
          <cell r="F37">
            <v>135.94</v>
          </cell>
        </row>
        <row r="38">
          <cell r="A38" t="str">
            <v>3 S 02 900 00</v>
          </cell>
          <cell r="B38" t="str">
            <v>Remoção mecanizada de revestimento betuminoso</v>
          </cell>
          <cell r="C38" t="str">
            <v>m3</v>
          </cell>
          <cell r="D38">
            <v>2.95</v>
          </cell>
          <cell r="E38">
            <v>0.96</v>
          </cell>
          <cell r="F38">
            <v>3.92</v>
          </cell>
        </row>
        <row r="39">
          <cell r="A39" t="str">
            <v>3 S 02 901 00</v>
          </cell>
          <cell r="B39" t="str">
            <v>Remoção manual de revestimento betuminoso</v>
          </cell>
          <cell r="C39" t="str">
            <v>m3</v>
          </cell>
          <cell r="D39">
            <v>47.07</v>
          </cell>
          <cell r="E39">
            <v>15.32</v>
          </cell>
          <cell r="F39">
            <v>62.39</v>
          </cell>
        </row>
        <row r="40">
          <cell r="A40" t="str">
            <v>3 S 02 902 00</v>
          </cell>
          <cell r="B40" t="str">
            <v>Remoção mecanizada da camada granular do pavimento</v>
          </cell>
          <cell r="C40" t="str">
            <v>m3</v>
          </cell>
          <cell r="D40">
            <v>1.9</v>
          </cell>
          <cell r="E40">
            <v>0.61</v>
          </cell>
          <cell r="F40">
            <v>2.52</v>
          </cell>
        </row>
        <row r="41">
          <cell r="A41" t="str">
            <v>3 S 02 903 00</v>
          </cell>
          <cell r="B41" t="str">
            <v>Remoção manual da camada granular do pavimento</v>
          </cell>
          <cell r="C41" t="str">
            <v>m3</v>
          </cell>
          <cell r="D41">
            <v>25.09</v>
          </cell>
          <cell r="E41">
            <v>8.16</v>
          </cell>
          <cell r="F41">
            <v>33.25</v>
          </cell>
        </row>
        <row r="42">
          <cell r="A42" t="str">
            <v>3 S 02 999 00</v>
          </cell>
          <cell r="B42" t="str">
            <v>Peneiramento</v>
          </cell>
          <cell r="C42" t="str">
            <v>m3</v>
          </cell>
          <cell r="D42">
            <v>3.03</v>
          </cell>
          <cell r="E42">
            <v>0.98</v>
          </cell>
          <cell r="F42">
            <v>4.0199999999999996</v>
          </cell>
        </row>
        <row r="43">
          <cell r="A43" t="str">
            <v>3 S 03 310 00</v>
          </cell>
          <cell r="B43" t="str">
            <v>Concreto ciclópico</v>
          </cell>
          <cell r="C43" t="str">
            <v>m3</v>
          </cell>
          <cell r="D43">
            <v>78.209999999999994</v>
          </cell>
          <cell r="E43">
            <v>25.45</v>
          </cell>
          <cell r="F43">
            <v>103.67</v>
          </cell>
        </row>
        <row r="44">
          <cell r="A44" t="str">
            <v>3 S 03 329 00</v>
          </cell>
          <cell r="B44" t="str">
            <v>Concreto de cimento (confecção e lançamento)</v>
          </cell>
          <cell r="C44" t="str">
            <v>m3</v>
          </cell>
          <cell r="D44">
            <v>96.73</v>
          </cell>
          <cell r="E44">
            <v>31.48</v>
          </cell>
          <cell r="F44">
            <v>128.21</v>
          </cell>
        </row>
        <row r="45">
          <cell r="A45" t="str">
            <v>3 S 03 329 01</v>
          </cell>
          <cell r="B45" t="str">
            <v>Concreto de cimento(confecção manual e lançamento)</v>
          </cell>
          <cell r="C45" t="str">
            <v>m3</v>
          </cell>
          <cell r="D45">
            <v>112.94</v>
          </cell>
          <cell r="E45">
            <v>36.76</v>
          </cell>
          <cell r="F45">
            <v>149.69999999999999</v>
          </cell>
        </row>
        <row r="46">
          <cell r="A46" t="str">
            <v>3 S 03 340 02</v>
          </cell>
          <cell r="B46" t="str">
            <v>Argamassa cimento areia 1-6</v>
          </cell>
          <cell r="C46" t="str">
            <v>m3</v>
          </cell>
          <cell r="D46">
            <v>81.86</v>
          </cell>
          <cell r="E46">
            <v>26.64</v>
          </cell>
          <cell r="F46">
            <v>108.51</v>
          </cell>
        </row>
        <row r="47">
          <cell r="A47" t="str">
            <v>3 S 03 340 03</v>
          </cell>
          <cell r="B47" t="str">
            <v>Argamassa cimento solo 1:10</v>
          </cell>
          <cell r="C47" t="str">
            <v>m3</v>
          </cell>
          <cell r="D47">
            <v>53.21</v>
          </cell>
          <cell r="E47">
            <v>17.32</v>
          </cell>
          <cell r="F47">
            <v>70.53</v>
          </cell>
        </row>
        <row r="48">
          <cell r="A48" t="str">
            <v>3 S 03 353 00</v>
          </cell>
          <cell r="B48" t="str">
            <v>Dobragem e colocação de armadura</v>
          </cell>
          <cell r="C48" t="str">
            <v>kg</v>
          </cell>
          <cell r="D48">
            <v>1.68</v>
          </cell>
          <cell r="E48">
            <v>0.54</v>
          </cell>
          <cell r="F48">
            <v>2.23</v>
          </cell>
        </row>
        <row r="49">
          <cell r="A49" t="str">
            <v>3 S 03 370 00</v>
          </cell>
          <cell r="B49" t="str">
            <v>Forma comum de madeira</v>
          </cell>
          <cell r="C49" t="str">
            <v>m2</v>
          </cell>
          <cell r="D49">
            <v>17.96</v>
          </cell>
          <cell r="E49">
            <v>5.84</v>
          </cell>
          <cell r="F49">
            <v>23.81</v>
          </cell>
        </row>
        <row r="50">
          <cell r="A50" t="str">
            <v>3 S 03 940 01</v>
          </cell>
          <cell r="B50" t="str">
            <v>Reaterro e compactação p/ bueiro</v>
          </cell>
          <cell r="C50" t="str">
            <v>m3</v>
          </cell>
          <cell r="D50">
            <v>6.99</v>
          </cell>
          <cell r="E50">
            <v>2.27</v>
          </cell>
          <cell r="F50">
            <v>9.26</v>
          </cell>
        </row>
        <row r="51">
          <cell r="A51" t="str">
            <v>3 S 03 940 02</v>
          </cell>
          <cell r="B51" t="str">
            <v>Reaterro apiloado</v>
          </cell>
          <cell r="C51" t="str">
            <v>m3</v>
          </cell>
          <cell r="D51">
            <v>4.46</v>
          </cell>
          <cell r="E51">
            <v>1.45</v>
          </cell>
          <cell r="F51">
            <v>5.92</v>
          </cell>
        </row>
        <row r="52">
          <cell r="A52" t="str">
            <v>3 S 03 950 00</v>
          </cell>
          <cell r="B52" t="str">
            <v>Limpeza de ponte</v>
          </cell>
          <cell r="C52" t="str">
            <v>m</v>
          </cell>
          <cell r="D52">
            <v>1.1299999999999999</v>
          </cell>
          <cell r="E52">
            <v>0.37</v>
          </cell>
          <cell r="F52">
            <v>1.5</v>
          </cell>
        </row>
        <row r="53">
          <cell r="A53" t="str">
            <v>3 S 04 000 00</v>
          </cell>
          <cell r="B53" t="str">
            <v>Escavação manual em material de 1a categoria</v>
          </cell>
          <cell r="C53" t="str">
            <v>m3</v>
          </cell>
          <cell r="D53">
            <v>8.07</v>
          </cell>
          <cell r="E53">
            <v>2.62</v>
          </cell>
          <cell r="F53">
            <v>10.7</v>
          </cell>
        </row>
        <row r="54">
          <cell r="A54" t="str">
            <v>3 S 04 000 01</v>
          </cell>
          <cell r="B54" t="str">
            <v>Escavação manual em material de 2a categoria</v>
          </cell>
          <cell r="C54" t="str">
            <v>m3</v>
          </cell>
          <cell r="D54">
            <v>10.76</v>
          </cell>
          <cell r="E54">
            <v>3.5</v>
          </cell>
          <cell r="F54">
            <v>14.26</v>
          </cell>
        </row>
        <row r="55">
          <cell r="A55" t="str">
            <v>3 S 04 001 00</v>
          </cell>
          <cell r="B55" t="str">
            <v>Escavação mecaniz. de vala em mater. de 1a cat.</v>
          </cell>
          <cell r="C55" t="str">
            <v>m3</v>
          </cell>
          <cell r="D55">
            <v>2.37</v>
          </cell>
          <cell r="E55">
            <v>0.77</v>
          </cell>
          <cell r="F55">
            <v>3.14</v>
          </cell>
        </row>
        <row r="56">
          <cell r="A56" t="str">
            <v>3 S 04 010 00</v>
          </cell>
          <cell r="B56" t="str">
            <v>Escavação mecaniz.de vala em material de 2a cat.</v>
          </cell>
          <cell r="C56" t="str">
            <v>m3</v>
          </cell>
          <cell r="D56">
            <v>2.96</v>
          </cell>
          <cell r="E56">
            <v>0.96</v>
          </cell>
          <cell r="F56">
            <v>3.93</v>
          </cell>
        </row>
        <row r="57">
          <cell r="A57" t="str">
            <v>3 S 04 020 00</v>
          </cell>
          <cell r="B57" t="str">
            <v>Escavação e carga de material de 3a cat. em valas</v>
          </cell>
          <cell r="C57" t="str">
            <v>m3</v>
          </cell>
          <cell r="D57">
            <v>22.81</v>
          </cell>
          <cell r="E57">
            <v>7.42</v>
          </cell>
          <cell r="F57">
            <v>30.24</v>
          </cell>
        </row>
        <row r="58">
          <cell r="A58" t="str">
            <v>3 S 04 300 16</v>
          </cell>
          <cell r="B58" t="str">
            <v>Bueiro met. chapa múltipla D=1,60m galv.</v>
          </cell>
          <cell r="C58" t="str">
            <v>m</v>
          </cell>
          <cell r="D58">
            <v>1077.76</v>
          </cell>
          <cell r="E58">
            <v>350.81</v>
          </cell>
          <cell r="F58">
            <v>1428.58</v>
          </cell>
        </row>
        <row r="59">
          <cell r="A59" t="str">
            <v>3 S 04 300 20</v>
          </cell>
          <cell r="B59" t="str">
            <v>Bueiro met. chapa múltipla D=2,00m galv.</v>
          </cell>
          <cell r="C59" t="str">
            <v>m</v>
          </cell>
          <cell r="D59">
            <v>1350.4</v>
          </cell>
          <cell r="E59">
            <v>439.55</v>
          </cell>
          <cell r="F59">
            <v>1789.96</v>
          </cell>
        </row>
        <row r="60">
          <cell r="A60" t="str">
            <v>3 S 04 301 16</v>
          </cell>
          <cell r="B60" t="str">
            <v>Bueiro met.chapas múlt. D=1,60 m rev. epoxy</v>
          </cell>
          <cell r="C60" t="str">
            <v>m</v>
          </cell>
          <cell r="D60">
            <v>1157.76</v>
          </cell>
          <cell r="E60">
            <v>376.85</v>
          </cell>
          <cell r="F60">
            <v>1534.62</v>
          </cell>
        </row>
        <row r="61">
          <cell r="A61" t="str">
            <v>3 S 04 301 20</v>
          </cell>
          <cell r="B61" t="str">
            <v>Bueiro met. chapas múlt. D=2,00 m rev. epoxy</v>
          </cell>
          <cell r="C61" t="str">
            <v>m</v>
          </cell>
          <cell r="D61">
            <v>1450.4</v>
          </cell>
          <cell r="E61">
            <v>472.1</v>
          </cell>
          <cell r="F61">
            <v>1922.51</v>
          </cell>
        </row>
        <row r="62">
          <cell r="A62" t="str">
            <v>3 S 04 310 16</v>
          </cell>
          <cell r="B62" t="str">
            <v>Bueiro met. s/interrupção tráf. D=1,60 m galv.</v>
          </cell>
          <cell r="C62" t="str">
            <v>m</v>
          </cell>
          <cell r="D62">
            <v>922.74</v>
          </cell>
          <cell r="E62">
            <v>300.35000000000002</v>
          </cell>
          <cell r="F62">
            <v>1223.0999999999999</v>
          </cell>
        </row>
        <row r="63">
          <cell r="A63" t="str">
            <v>3 S 04 310 20</v>
          </cell>
          <cell r="B63" t="str">
            <v>Bueiro met. s/interrupção tráf. D=2,00 m galv.</v>
          </cell>
          <cell r="C63" t="str">
            <v>m</v>
          </cell>
          <cell r="D63">
            <v>1146.29</v>
          </cell>
          <cell r="E63">
            <v>373.11</v>
          </cell>
          <cell r="F63">
            <v>1519.4</v>
          </cell>
        </row>
        <row r="64">
          <cell r="A64" t="str">
            <v>3 S 04 311 16</v>
          </cell>
          <cell r="B64" t="str">
            <v>Bueiro met.s/interrupção tráf. D=1,60 m rev. epoxy</v>
          </cell>
          <cell r="C64" t="str">
            <v>m</v>
          </cell>
          <cell r="D64">
            <v>1388.54</v>
          </cell>
          <cell r="E64">
            <v>451.97</v>
          </cell>
          <cell r="F64">
            <v>1840.52</v>
          </cell>
        </row>
        <row r="65">
          <cell r="A65" t="str">
            <v>3 S 04 311 20</v>
          </cell>
          <cell r="B65" t="str">
            <v>Bueiro met.s/interrupção tráf. D=2,00 m rev. epoxy</v>
          </cell>
          <cell r="C65" t="str">
            <v>m</v>
          </cell>
          <cell r="D65">
            <v>1227.29</v>
          </cell>
          <cell r="E65">
            <v>399.48</v>
          </cell>
          <cell r="F65">
            <v>1626.77</v>
          </cell>
        </row>
        <row r="66">
          <cell r="A66" t="str">
            <v>3 S 04 590 00</v>
          </cell>
          <cell r="B66" t="str">
            <v>Assentamento de dreno profundo</v>
          </cell>
          <cell r="C66" t="str">
            <v>m</v>
          </cell>
          <cell r="D66">
            <v>18.61</v>
          </cell>
          <cell r="E66">
            <v>6.06</v>
          </cell>
          <cell r="F66">
            <v>24.67</v>
          </cell>
        </row>
        <row r="67">
          <cell r="A67" t="str">
            <v>3 S 04 999 08</v>
          </cell>
          <cell r="B67" t="str">
            <v>Selo de argila apiloado com solo local</v>
          </cell>
          <cell r="C67" t="str">
            <v>m3</v>
          </cell>
          <cell r="D67">
            <v>4.46</v>
          </cell>
          <cell r="E67">
            <v>1.45</v>
          </cell>
          <cell r="F67">
            <v>5.92</v>
          </cell>
        </row>
        <row r="68">
          <cell r="A68" t="str">
            <v>3 S 05 000 00</v>
          </cell>
          <cell r="B68" t="str">
            <v>Enrocamento de pedra arrumada</v>
          </cell>
          <cell r="C68" t="str">
            <v>m3</v>
          </cell>
          <cell r="D68">
            <v>32.64</v>
          </cell>
          <cell r="E68">
            <v>10.62</v>
          </cell>
          <cell r="F68">
            <v>43.27</v>
          </cell>
        </row>
        <row r="69">
          <cell r="A69" t="str">
            <v>3 S 05 001 00</v>
          </cell>
          <cell r="B69" t="str">
            <v>Enrocamento de pedra jogada</v>
          </cell>
          <cell r="C69" t="str">
            <v>m3</v>
          </cell>
          <cell r="D69">
            <v>21.93</v>
          </cell>
          <cell r="E69">
            <v>7.13</v>
          </cell>
          <cell r="F69">
            <v>29.07</v>
          </cell>
        </row>
        <row r="70">
          <cell r="A70" t="str">
            <v>3 S 05 101 01</v>
          </cell>
          <cell r="B70" t="str">
            <v>Revestimento vegetal com mudas</v>
          </cell>
          <cell r="C70" t="str">
            <v>m2</v>
          </cell>
          <cell r="D70">
            <v>1.51</v>
          </cell>
          <cell r="E70">
            <v>0.49</v>
          </cell>
          <cell r="F70">
            <v>2.0099999999999998</v>
          </cell>
        </row>
        <row r="71">
          <cell r="A71" t="str">
            <v>3 S 05 101 02</v>
          </cell>
          <cell r="B71" t="str">
            <v>Revestimento vegetal com grama em leivas</v>
          </cell>
          <cell r="C71" t="str">
            <v>m2</v>
          </cell>
          <cell r="D71">
            <v>1.62</v>
          </cell>
          <cell r="E71">
            <v>0.53</v>
          </cell>
          <cell r="F71">
            <v>2.15</v>
          </cell>
        </row>
        <row r="72">
          <cell r="A72" t="str">
            <v>3 S 08 001 00</v>
          </cell>
          <cell r="B72" t="str">
            <v>Reconformação da plataforma</v>
          </cell>
          <cell r="C72" t="str">
            <v>ha</v>
          </cell>
          <cell r="D72">
            <v>55.22</v>
          </cell>
          <cell r="E72">
            <v>17.97</v>
          </cell>
          <cell r="F72">
            <v>73.19</v>
          </cell>
        </row>
        <row r="73">
          <cell r="A73" t="str">
            <v>3 S 08 100 00</v>
          </cell>
          <cell r="B73" t="str">
            <v>Tapa buraco</v>
          </cell>
          <cell r="C73" t="str">
            <v>m3</v>
          </cell>
          <cell r="D73">
            <v>49.27</v>
          </cell>
          <cell r="E73">
            <v>16.04</v>
          </cell>
          <cell r="F73">
            <v>65.31</v>
          </cell>
        </row>
        <row r="74">
          <cell r="A74" t="str">
            <v>3 S 08 101 01</v>
          </cell>
          <cell r="B74" t="str">
            <v>Remendo profundo com demolição manual</v>
          </cell>
          <cell r="C74" t="str">
            <v>m3</v>
          </cell>
          <cell r="D74">
            <v>57.84</v>
          </cell>
          <cell r="E74">
            <v>18.82</v>
          </cell>
          <cell r="F74">
            <v>76.67</v>
          </cell>
        </row>
        <row r="75">
          <cell r="A75" t="str">
            <v>3 S 08 101 02</v>
          </cell>
          <cell r="B75" t="str">
            <v>Remendo profundo com demolição mecanizada</v>
          </cell>
          <cell r="C75" t="str">
            <v>m3</v>
          </cell>
          <cell r="D75">
            <v>42.59</v>
          </cell>
          <cell r="E75">
            <v>13.86</v>
          </cell>
          <cell r="F75">
            <v>56.45</v>
          </cell>
        </row>
        <row r="76">
          <cell r="A76" t="str">
            <v>3 S 08 102 00</v>
          </cell>
          <cell r="B76" t="str">
            <v>Limpeza ench. juntas pav. concr. a quente (consv)</v>
          </cell>
          <cell r="C76" t="str">
            <v>m</v>
          </cell>
          <cell r="D76">
            <v>0.68</v>
          </cell>
          <cell r="E76">
            <v>0.22</v>
          </cell>
          <cell r="F76">
            <v>0.91</v>
          </cell>
        </row>
        <row r="77">
          <cell r="A77" t="str">
            <v>3 S 08 102 01</v>
          </cell>
          <cell r="B77" t="str">
            <v>Limpeza ench. juntas pav. concr. a frio (consv)</v>
          </cell>
          <cell r="C77" t="str">
            <v>m</v>
          </cell>
          <cell r="D77">
            <v>0.56999999999999995</v>
          </cell>
          <cell r="E77">
            <v>0.18</v>
          </cell>
          <cell r="F77">
            <v>0.76</v>
          </cell>
        </row>
        <row r="78">
          <cell r="A78" t="str">
            <v>3 S 08 103 00</v>
          </cell>
          <cell r="B78" t="str">
            <v>Selagem de trinca</v>
          </cell>
          <cell r="C78" t="str">
            <v>l</v>
          </cell>
          <cell r="D78">
            <v>0.43</v>
          </cell>
          <cell r="E78">
            <v>0.14000000000000001</v>
          </cell>
          <cell r="F78">
            <v>0.56999999999999995</v>
          </cell>
        </row>
        <row r="79">
          <cell r="A79" t="str">
            <v>3 S 08 104 01</v>
          </cell>
          <cell r="B79" t="str">
            <v>Combate à exsudação com areia</v>
          </cell>
          <cell r="C79" t="str">
            <v>m2</v>
          </cell>
          <cell r="D79">
            <v>0.15</v>
          </cell>
          <cell r="E79">
            <v>0.04</v>
          </cell>
          <cell r="F79">
            <v>0.2</v>
          </cell>
        </row>
        <row r="80">
          <cell r="A80" t="str">
            <v>3 S 08 104 02</v>
          </cell>
          <cell r="B80" t="str">
            <v>Combate à exsudação com pedrisco</v>
          </cell>
          <cell r="C80" t="str">
            <v>m2</v>
          </cell>
          <cell r="D80">
            <v>0.18</v>
          </cell>
          <cell r="E80">
            <v>0.06</v>
          </cell>
          <cell r="F80">
            <v>0.24</v>
          </cell>
        </row>
        <row r="81">
          <cell r="A81" t="str">
            <v>3 S 08 109 00</v>
          </cell>
          <cell r="B81" t="str">
            <v>Correção de defeitos com mistura betuminosa</v>
          </cell>
          <cell r="C81" t="str">
            <v>m3</v>
          </cell>
          <cell r="D81">
            <v>30.73</v>
          </cell>
          <cell r="E81">
            <v>10</v>
          </cell>
          <cell r="F81">
            <v>40.74</v>
          </cell>
        </row>
        <row r="82">
          <cell r="A82" t="str">
            <v>3 S 08 109 12</v>
          </cell>
          <cell r="B82" t="str">
            <v>Correção de defeitos por fresagem descontínua</v>
          </cell>
          <cell r="C82" t="str">
            <v>m3</v>
          </cell>
          <cell r="D82">
            <v>64.209999999999994</v>
          </cell>
          <cell r="E82">
            <v>20.9</v>
          </cell>
          <cell r="F82">
            <v>85.11</v>
          </cell>
        </row>
        <row r="83">
          <cell r="A83" t="str">
            <v>3 S 08 110 00</v>
          </cell>
          <cell r="B83" t="str">
            <v>Correção de defeitos por penetração</v>
          </cell>
          <cell r="C83" t="str">
            <v>m2</v>
          </cell>
          <cell r="D83">
            <v>3.4</v>
          </cell>
          <cell r="E83">
            <v>1.1000000000000001</v>
          </cell>
          <cell r="F83">
            <v>4.51</v>
          </cell>
        </row>
        <row r="84">
          <cell r="A84" t="str">
            <v>3 S 08 200 00</v>
          </cell>
          <cell r="B84" t="str">
            <v>Recomp. de guarda corpo</v>
          </cell>
          <cell r="C84" t="str">
            <v>m</v>
          </cell>
          <cell r="D84">
            <v>28.12</v>
          </cell>
          <cell r="E84">
            <v>9.15</v>
          </cell>
          <cell r="F84">
            <v>37.270000000000003</v>
          </cell>
        </row>
        <row r="85">
          <cell r="A85" t="str">
            <v>3 S 08 200 01</v>
          </cell>
          <cell r="B85" t="str">
            <v>Recomposição de sarjeta em alvenaria de tijolo</v>
          </cell>
          <cell r="C85" t="str">
            <v>m2</v>
          </cell>
          <cell r="D85">
            <v>13.37</v>
          </cell>
          <cell r="E85">
            <v>4.3499999999999996</v>
          </cell>
          <cell r="F85">
            <v>17.72</v>
          </cell>
        </row>
        <row r="86">
          <cell r="A86" t="str">
            <v>3 S 08 300 01</v>
          </cell>
          <cell r="B86" t="str">
            <v>Limpeza de sarjeta e meio fio</v>
          </cell>
          <cell r="C86" t="str">
            <v>m</v>
          </cell>
          <cell r="D86">
            <v>0.09</v>
          </cell>
          <cell r="E86">
            <v>0.02</v>
          </cell>
          <cell r="F86">
            <v>0.12</v>
          </cell>
        </row>
        <row r="87">
          <cell r="A87" t="str">
            <v>3 S 08 301 01</v>
          </cell>
          <cell r="B87" t="str">
            <v>Limpeza de valeta de corte</v>
          </cell>
          <cell r="C87" t="str">
            <v>m</v>
          </cell>
          <cell r="D87">
            <v>0.13</v>
          </cell>
          <cell r="E87">
            <v>0.04</v>
          </cell>
          <cell r="F87">
            <v>0.18</v>
          </cell>
        </row>
        <row r="88">
          <cell r="A88" t="str">
            <v>3 S 08 301 02</v>
          </cell>
          <cell r="B88" t="str">
            <v>Limpeza de vala de drenagem</v>
          </cell>
          <cell r="C88" t="str">
            <v>m</v>
          </cell>
          <cell r="D88">
            <v>0.54</v>
          </cell>
          <cell r="E88">
            <v>0.17</v>
          </cell>
          <cell r="F88">
            <v>0.72</v>
          </cell>
        </row>
        <row r="89">
          <cell r="A89" t="str">
            <v>3 S 08 301 03</v>
          </cell>
          <cell r="B89" t="str">
            <v>Limpeza de descida d'água</v>
          </cell>
          <cell r="C89" t="str">
            <v>m</v>
          </cell>
          <cell r="D89">
            <v>0.18</v>
          </cell>
          <cell r="E89">
            <v>0.05</v>
          </cell>
          <cell r="F89">
            <v>0.24</v>
          </cell>
        </row>
        <row r="90">
          <cell r="A90" t="str">
            <v>3 S 08 302 01</v>
          </cell>
          <cell r="B90" t="str">
            <v>Limpeza de bueiro</v>
          </cell>
          <cell r="C90" t="str">
            <v>m3</v>
          </cell>
          <cell r="D90">
            <v>3.03</v>
          </cell>
          <cell r="E90">
            <v>0.98</v>
          </cell>
          <cell r="F90">
            <v>4.0199999999999996</v>
          </cell>
        </row>
        <row r="91">
          <cell r="A91" t="str">
            <v>3 S 08 302 02</v>
          </cell>
          <cell r="B91" t="str">
            <v>Desobstrução de bueiro</v>
          </cell>
          <cell r="C91" t="str">
            <v>m3</v>
          </cell>
          <cell r="D91">
            <v>8.8000000000000007</v>
          </cell>
          <cell r="E91">
            <v>2.86</v>
          </cell>
          <cell r="F91">
            <v>11.67</v>
          </cell>
        </row>
        <row r="92">
          <cell r="A92" t="str">
            <v>3 S 08 302 03</v>
          </cell>
          <cell r="B92" t="str">
            <v>Assentamento de tubo D=0,60 m</v>
          </cell>
          <cell r="C92" t="str">
            <v>m</v>
          </cell>
          <cell r="D92">
            <v>55.31</v>
          </cell>
          <cell r="E92">
            <v>18</v>
          </cell>
          <cell r="F92">
            <v>73.319999999999993</v>
          </cell>
        </row>
        <row r="93">
          <cell r="A93" t="str">
            <v>3 S 08 302 04</v>
          </cell>
          <cell r="B93" t="str">
            <v>Assentamento de tubo D=0,80 m</v>
          </cell>
          <cell r="C93" t="str">
            <v>m</v>
          </cell>
          <cell r="D93">
            <v>83.26</v>
          </cell>
          <cell r="E93">
            <v>27.1</v>
          </cell>
          <cell r="F93">
            <v>110.36</v>
          </cell>
        </row>
        <row r="94">
          <cell r="A94" t="str">
            <v>3 S 08 302 05</v>
          </cell>
          <cell r="B94" t="str">
            <v>Assentamento de tubo D=1,0 m</v>
          </cell>
          <cell r="C94" t="str">
            <v>m</v>
          </cell>
          <cell r="D94">
            <v>122.24</v>
          </cell>
          <cell r="E94">
            <v>39.78</v>
          </cell>
          <cell r="F94">
            <v>162.03</v>
          </cell>
        </row>
        <row r="95">
          <cell r="A95" t="str">
            <v>3 S 08 302 06</v>
          </cell>
          <cell r="B95" t="str">
            <v>Assentamento de tubo D=1,20 m</v>
          </cell>
          <cell r="C95" t="str">
            <v>m</v>
          </cell>
          <cell r="D95">
            <v>176.45</v>
          </cell>
          <cell r="E95">
            <v>57.43</v>
          </cell>
          <cell r="F95">
            <v>233.89</v>
          </cell>
        </row>
        <row r="96">
          <cell r="A96" t="str">
            <v>3 S 08 400 00</v>
          </cell>
          <cell r="B96" t="str">
            <v>Limpeza de placa de sinalização</v>
          </cell>
          <cell r="C96" t="str">
            <v>m2</v>
          </cell>
          <cell r="D96">
            <v>1.4</v>
          </cell>
          <cell r="E96">
            <v>0.45</v>
          </cell>
          <cell r="F96">
            <v>1.85</v>
          </cell>
        </row>
        <row r="97">
          <cell r="A97" t="str">
            <v>3 S 08 400 01</v>
          </cell>
          <cell r="B97" t="str">
            <v>Recomposição placa de sinalização</v>
          </cell>
          <cell r="C97" t="str">
            <v>m2</v>
          </cell>
          <cell r="D97">
            <v>5.81</v>
          </cell>
          <cell r="E97">
            <v>1.89</v>
          </cell>
          <cell r="F97">
            <v>7.71</v>
          </cell>
        </row>
        <row r="98">
          <cell r="A98" t="str">
            <v>3 S 08 400 02</v>
          </cell>
          <cell r="B98" t="str">
            <v>Substituição de balizador</v>
          </cell>
          <cell r="C98" t="str">
            <v>un</v>
          </cell>
          <cell r="D98">
            <v>7.5</v>
          </cell>
          <cell r="E98">
            <v>2.44</v>
          </cell>
          <cell r="F98">
            <v>9.94</v>
          </cell>
        </row>
        <row r="99">
          <cell r="A99" t="str">
            <v>3 S 08 401 00</v>
          </cell>
          <cell r="B99" t="str">
            <v>Recomposição de defensa metálica</v>
          </cell>
          <cell r="C99" t="str">
            <v>m</v>
          </cell>
          <cell r="D99">
            <v>92.42</v>
          </cell>
          <cell r="E99">
            <v>30.08</v>
          </cell>
          <cell r="F99">
            <v>122.5</v>
          </cell>
        </row>
        <row r="100">
          <cell r="A100" t="str">
            <v>3 S 08 402 00</v>
          </cell>
          <cell r="B100" t="str">
            <v>Caiação</v>
          </cell>
          <cell r="C100" t="str">
            <v>m2</v>
          </cell>
          <cell r="D100">
            <v>0.45</v>
          </cell>
          <cell r="E100">
            <v>0.14000000000000001</v>
          </cell>
          <cell r="F100">
            <v>0.59</v>
          </cell>
        </row>
        <row r="101">
          <cell r="A101" t="str">
            <v>3 S 08 403 00</v>
          </cell>
          <cell r="B101" t="str">
            <v>Renovação de sinalização horizontal</v>
          </cell>
          <cell r="C101" t="str">
            <v>m2</v>
          </cell>
          <cell r="D101">
            <v>10.43</v>
          </cell>
          <cell r="E101">
            <v>3.39</v>
          </cell>
          <cell r="F101">
            <v>13.83</v>
          </cell>
        </row>
        <row r="102">
          <cell r="A102" t="str">
            <v>3 S 08 404 00</v>
          </cell>
          <cell r="B102" t="str">
            <v>Recomp. tot. cerca c/ mourão de conc. secção quad.</v>
          </cell>
          <cell r="C102" t="str">
            <v>m</v>
          </cell>
          <cell r="D102">
            <v>5.61</v>
          </cell>
          <cell r="E102">
            <v>1.82</v>
          </cell>
          <cell r="F102">
            <v>7.43</v>
          </cell>
        </row>
        <row r="103">
          <cell r="A103" t="str">
            <v>3 S 08 404 01</v>
          </cell>
          <cell r="B103" t="str">
            <v>Recomp. parc. cerca de conc. seção quad. - mourão</v>
          </cell>
          <cell r="C103" t="str">
            <v>m</v>
          </cell>
          <cell r="D103">
            <v>4.7</v>
          </cell>
          <cell r="E103">
            <v>1.53</v>
          </cell>
          <cell r="F103">
            <v>6.24</v>
          </cell>
        </row>
        <row r="104">
          <cell r="A104" t="str">
            <v>3 S 08 404 02</v>
          </cell>
          <cell r="B104" t="str">
            <v>Recomp. parc. cerca c/ mourão de concr.-arame</v>
          </cell>
          <cell r="C104" t="str">
            <v>m</v>
          </cell>
          <cell r="D104">
            <v>1.17</v>
          </cell>
          <cell r="E104">
            <v>0.38</v>
          </cell>
          <cell r="F104">
            <v>1.55</v>
          </cell>
        </row>
        <row r="105">
          <cell r="A105" t="str">
            <v>3 S 08 404 03</v>
          </cell>
          <cell r="B105" t="str">
            <v>Recomp. tot. cerca c/ mourão concr. seção triang.</v>
          </cell>
          <cell r="C105" t="str">
            <v>m</v>
          </cell>
          <cell r="D105">
            <v>4.82</v>
          </cell>
          <cell r="E105">
            <v>1.57</v>
          </cell>
          <cell r="F105">
            <v>6.4</v>
          </cell>
        </row>
        <row r="106">
          <cell r="A106" t="str">
            <v>3 S 08 404 04</v>
          </cell>
          <cell r="B106" t="str">
            <v>Recomp. parc. cerca c/ mourão concr. seção triang.</v>
          </cell>
          <cell r="C106" t="str">
            <v>m</v>
          </cell>
          <cell r="D106">
            <v>4.03</v>
          </cell>
          <cell r="E106">
            <v>1.31</v>
          </cell>
          <cell r="F106">
            <v>5.34</v>
          </cell>
        </row>
        <row r="107">
          <cell r="A107" t="str">
            <v>3 S 08 414 00</v>
          </cell>
          <cell r="B107" t="str">
            <v>Recomposição total de cerca com mourão de madeira</v>
          </cell>
          <cell r="C107" t="str">
            <v>m</v>
          </cell>
          <cell r="D107">
            <v>3.35</v>
          </cell>
          <cell r="E107">
            <v>1.0900000000000001</v>
          </cell>
          <cell r="F107">
            <v>4.4400000000000004</v>
          </cell>
        </row>
        <row r="108">
          <cell r="A108" t="str">
            <v>3 S 08 414 01</v>
          </cell>
          <cell r="B108" t="str">
            <v>Recomposição parcial cerca de madeira - mourão</v>
          </cell>
          <cell r="C108" t="str">
            <v>m</v>
          </cell>
          <cell r="D108">
            <v>2.81</v>
          </cell>
          <cell r="E108">
            <v>0.91</v>
          </cell>
          <cell r="F108">
            <v>3.73</v>
          </cell>
        </row>
        <row r="109">
          <cell r="A109" t="str">
            <v>3 S 08 414 02</v>
          </cell>
          <cell r="B109" t="str">
            <v>Recomp. parcial cerca c/ mourão de madeira - arame</v>
          </cell>
          <cell r="C109" t="str">
            <v>m</v>
          </cell>
          <cell r="D109">
            <v>0.9</v>
          </cell>
          <cell r="E109">
            <v>0.28999999999999998</v>
          </cell>
          <cell r="F109">
            <v>1.19</v>
          </cell>
        </row>
        <row r="110">
          <cell r="A110" t="str">
            <v>3 S 08 500 00</v>
          </cell>
          <cell r="B110" t="str">
            <v>Recomposição manual de aterro</v>
          </cell>
          <cell r="C110" t="str">
            <v>m3</v>
          </cell>
          <cell r="D110">
            <v>23.96</v>
          </cell>
          <cell r="E110">
            <v>7.8</v>
          </cell>
          <cell r="F110">
            <v>31.76</v>
          </cell>
        </row>
        <row r="111">
          <cell r="A111" t="str">
            <v>3 S 08 501 00</v>
          </cell>
          <cell r="B111" t="str">
            <v>Recomposição mecanizada de aterro</v>
          </cell>
          <cell r="C111" t="str">
            <v>m3</v>
          </cell>
          <cell r="D111">
            <v>7.79</v>
          </cell>
          <cell r="E111">
            <v>2.5299999999999998</v>
          </cell>
          <cell r="F111">
            <v>10.33</v>
          </cell>
        </row>
        <row r="112">
          <cell r="A112" t="str">
            <v>3 S 08 510 00</v>
          </cell>
          <cell r="B112" t="str">
            <v>Remoção manual de barreira em solo</v>
          </cell>
          <cell r="C112" t="str">
            <v>m3</v>
          </cell>
          <cell r="D112">
            <v>5.96</v>
          </cell>
          <cell r="E112">
            <v>1.94</v>
          </cell>
          <cell r="F112">
            <v>7.9</v>
          </cell>
        </row>
        <row r="113">
          <cell r="A113" t="str">
            <v>3 S 08 510 01</v>
          </cell>
          <cell r="B113" t="str">
            <v>Remoção manual de barreira em rocha</v>
          </cell>
          <cell r="C113" t="str">
            <v>m3</v>
          </cell>
          <cell r="D113">
            <v>7.45</v>
          </cell>
          <cell r="E113">
            <v>2.42</v>
          </cell>
          <cell r="F113">
            <v>9.8699999999999992</v>
          </cell>
        </row>
        <row r="114">
          <cell r="A114" t="str">
            <v>3 S 08 511 00</v>
          </cell>
          <cell r="B114" t="str">
            <v>Remoção mecanizada de barreira - solo</v>
          </cell>
          <cell r="C114" t="str">
            <v>m3</v>
          </cell>
          <cell r="D114">
            <v>1.49</v>
          </cell>
          <cell r="E114">
            <v>0.48</v>
          </cell>
          <cell r="F114">
            <v>1.98</v>
          </cell>
        </row>
        <row r="115">
          <cell r="A115" t="str">
            <v>3 S 08 512 00</v>
          </cell>
          <cell r="B115" t="str">
            <v>Remoção mecanizada de barreira - rocha</v>
          </cell>
          <cell r="C115" t="str">
            <v>m3</v>
          </cell>
          <cell r="D115">
            <v>2.29</v>
          </cell>
          <cell r="E115">
            <v>0.74</v>
          </cell>
          <cell r="F115">
            <v>3.03</v>
          </cell>
        </row>
        <row r="116">
          <cell r="A116" t="str">
            <v>3 S 08 513 00</v>
          </cell>
          <cell r="B116" t="str">
            <v>Remoção de matacões</v>
          </cell>
          <cell r="C116" t="str">
            <v>m3</v>
          </cell>
          <cell r="D116">
            <v>19.13</v>
          </cell>
          <cell r="E116">
            <v>6.22</v>
          </cell>
          <cell r="F116">
            <v>25.36</v>
          </cell>
        </row>
        <row r="117">
          <cell r="A117" t="str">
            <v>3 S 08 900 00</v>
          </cell>
          <cell r="B117" t="str">
            <v>Roçada manual</v>
          </cell>
          <cell r="C117" t="str">
            <v>ha</v>
          </cell>
          <cell r="D117">
            <v>252.79</v>
          </cell>
          <cell r="E117">
            <v>82.28</v>
          </cell>
          <cell r="F117">
            <v>335.07</v>
          </cell>
        </row>
        <row r="118">
          <cell r="A118" t="str">
            <v>3 S 08 900 01</v>
          </cell>
          <cell r="B118" t="str">
            <v>Roçada de capim colonião</v>
          </cell>
          <cell r="C118" t="str">
            <v>ha</v>
          </cell>
          <cell r="D118">
            <v>606.70000000000005</v>
          </cell>
          <cell r="E118">
            <v>197.48</v>
          </cell>
          <cell r="F118">
            <v>804.18</v>
          </cell>
        </row>
        <row r="119">
          <cell r="A119" t="str">
            <v>3 S 08 901 00</v>
          </cell>
          <cell r="B119" t="str">
            <v>Roçada mecanizada</v>
          </cell>
          <cell r="C119" t="str">
            <v>ha</v>
          </cell>
          <cell r="D119">
            <v>83</v>
          </cell>
          <cell r="E119">
            <v>27.01</v>
          </cell>
          <cell r="F119">
            <v>110.02</v>
          </cell>
        </row>
        <row r="120">
          <cell r="A120" t="str">
            <v>3 S 08 901 01</v>
          </cell>
          <cell r="B120" t="str">
            <v>Corte e limpeza de áreas gramadas</v>
          </cell>
          <cell r="C120" t="str">
            <v>m2</v>
          </cell>
          <cell r="D120">
            <v>0.02</v>
          </cell>
          <cell r="E120">
            <v>0</v>
          </cell>
          <cell r="F120">
            <v>0.03</v>
          </cell>
        </row>
        <row r="121">
          <cell r="A121" t="str">
            <v>3 S 08 910 00</v>
          </cell>
          <cell r="B121" t="str">
            <v>Capina manual</v>
          </cell>
          <cell r="C121" t="str">
            <v>m2</v>
          </cell>
          <cell r="D121">
            <v>0.1</v>
          </cell>
          <cell r="E121">
            <v>0.03</v>
          </cell>
          <cell r="F121">
            <v>0.13</v>
          </cell>
        </row>
        <row r="122">
          <cell r="A122" t="str">
            <v>3 S 09 001 00</v>
          </cell>
          <cell r="B122" t="str">
            <v>Transporte local c/ basc. 5m3 em rodov. não pav.</v>
          </cell>
          <cell r="C122" t="str">
            <v>tkm</v>
          </cell>
          <cell r="D122">
            <v>0.25</v>
          </cell>
          <cell r="E122">
            <v>0.08</v>
          </cell>
          <cell r="F122">
            <v>0.33</v>
          </cell>
        </row>
        <row r="123">
          <cell r="A123" t="str">
            <v>3 S 09 001 06</v>
          </cell>
          <cell r="B123" t="str">
            <v>Transporte local c/ basc. 10m3 em rodov. não pav.</v>
          </cell>
          <cell r="C123" t="str">
            <v>tkm</v>
          </cell>
          <cell r="D123">
            <v>0.23</v>
          </cell>
          <cell r="E123">
            <v>7.0000000000000007E-2</v>
          </cell>
          <cell r="F123">
            <v>0.3</v>
          </cell>
        </row>
        <row r="124">
          <cell r="A124" t="str">
            <v>3 S 09 001 41</v>
          </cell>
          <cell r="B124" t="str">
            <v>Transp. local c/ carroceria 4t em rodov. não pav.</v>
          </cell>
          <cell r="C124" t="str">
            <v>tkm</v>
          </cell>
          <cell r="D124">
            <v>0.35</v>
          </cell>
          <cell r="E124">
            <v>0.11</v>
          </cell>
          <cell r="F124">
            <v>0.46</v>
          </cell>
        </row>
        <row r="125">
          <cell r="A125" t="str">
            <v>3 S 09 001 90</v>
          </cell>
          <cell r="B125" t="str">
            <v>Transporte comercial c/ carroc. rodov. não pav.</v>
          </cell>
          <cell r="C125" t="str">
            <v>tkm</v>
          </cell>
          <cell r="D125">
            <v>0.15</v>
          </cell>
          <cell r="E125">
            <v>0.04</v>
          </cell>
          <cell r="F125">
            <v>0.2</v>
          </cell>
        </row>
        <row r="126">
          <cell r="A126" t="str">
            <v>3 S 09 002 00</v>
          </cell>
          <cell r="B126" t="str">
            <v>Transporte local basc. 5m3 em rodov. pav.</v>
          </cell>
          <cell r="C126" t="str">
            <v>tkm</v>
          </cell>
          <cell r="D126">
            <v>0.2</v>
          </cell>
          <cell r="E126">
            <v>0.06</v>
          </cell>
          <cell r="F126">
            <v>0.26</v>
          </cell>
        </row>
        <row r="127">
          <cell r="A127" t="str">
            <v>3 S 09 002 03</v>
          </cell>
          <cell r="B127" t="str">
            <v>Transporte local de material para remendos</v>
          </cell>
          <cell r="C127" t="str">
            <v>tkm</v>
          </cell>
          <cell r="D127">
            <v>0.3</v>
          </cell>
          <cell r="E127">
            <v>0.09</v>
          </cell>
          <cell r="F127">
            <v>0.4</v>
          </cell>
        </row>
        <row r="128">
          <cell r="A128" t="str">
            <v>3 S 09 002 06</v>
          </cell>
          <cell r="B128" t="str">
            <v>Transporte local c/ basc. 10m3 em rodov. pav.</v>
          </cell>
          <cell r="C128" t="str">
            <v>tkm</v>
          </cell>
          <cell r="D128">
            <v>0.17</v>
          </cell>
          <cell r="E128">
            <v>0.05</v>
          </cell>
          <cell r="F128">
            <v>0.23</v>
          </cell>
        </row>
        <row r="129">
          <cell r="A129" t="str">
            <v>3 S 09 002 41</v>
          </cell>
          <cell r="B129" t="str">
            <v>Transp. local c/ carroceria 4t em rodov. pav.</v>
          </cell>
          <cell r="C129" t="str">
            <v>tkm</v>
          </cell>
          <cell r="D129">
            <v>0.27</v>
          </cell>
          <cell r="E129">
            <v>0.09</v>
          </cell>
          <cell r="F129">
            <v>0.36</v>
          </cell>
        </row>
        <row r="130">
          <cell r="A130" t="str">
            <v>3 S 09 002 90</v>
          </cell>
          <cell r="B130" t="str">
            <v>Transporte comercial c/ carroceria rodov. pav.</v>
          </cell>
          <cell r="C130" t="str">
            <v>tkm</v>
          </cell>
          <cell r="D130">
            <v>0.1</v>
          </cell>
          <cell r="E130">
            <v>0.03</v>
          </cell>
          <cell r="F130">
            <v>0.13</v>
          </cell>
        </row>
        <row r="131">
          <cell r="A131" t="str">
            <v>3 S 09 102 00</v>
          </cell>
          <cell r="B131" t="str">
            <v>Transporte local material betuminoso</v>
          </cell>
          <cell r="C131" t="str">
            <v>tkm</v>
          </cell>
          <cell r="D131">
            <v>0.5</v>
          </cell>
          <cell r="E131">
            <v>0.16</v>
          </cell>
          <cell r="F131">
            <v>0.66</v>
          </cell>
        </row>
        <row r="132">
          <cell r="A132" t="str">
            <v>3 S 09 201 70</v>
          </cell>
          <cell r="B132" t="str">
            <v>Transp. local água c/ cam. tanque rodov. não pav.</v>
          </cell>
          <cell r="C132" t="str">
            <v>tkm</v>
          </cell>
          <cell r="D132">
            <v>0.48</v>
          </cell>
          <cell r="E132">
            <v>0.15</v>
          </cell>
          <cell r="F132">
            <v>0.64</v>
          </cell>
        </row>
        <row r="133">
          <cell r="A133" t="str">
            <v>3 S 09 202 70</v>
          </cell>
          <cell r="B133" t="str">
            <v>Transp. local água c/ cam. tanque em rodov. pav.</v>
          </cell>
          <cell r="C133" t="str">
            <v>tkm</v>
          </cell>
          <cell r="D133">
            <v>0.38</v>
          </cell>
          <cell r="E133">
            <v>0.12</v>
          </cell>
          <cell r="F133">
            <v>0.5</v>
          </cell>
        </row>
        <row r="134">
          <cell r="A134" t="str">
            <v>5 S 02 511 01</v>
          </cell>
          <cell r="B134" t="str">
            <v>Micro-revestimento a frio - Microflex 0,8cm</v>
          </cell>
          <cell r="C134" t="str">
            <v>m2</v>
          </cell>
          <cell r="D134">
            <v>0.62</v>
          </cell>
          <cell r="E134">
            <v>0.2</v>
          </cell>
          <cell r="F134">
            <v>0.82</v>
          </cell>
        </row>
      </sheetData>
      <sheetData sheetId="18" refreshError="1"/>
      <sheetData sheetId="19" refreshError="1">
        <row r="3">
          <cell r="A3" t="str">
            <v>AM01</v>
          </cell>
          <cell r="B3" t="str">
            <v>Aço D=4,2 mm CA 25</v>
          </cell>
          <cell r="C3" t="str">
            <v>kg</v>
          </cell>
          <cell r="D3">
            <v>0.95</v>
          </cell>
          <cell r="E3" t="str">
            <v>kg</v>
          </cell>
          <cell r="F3">
            <v>0.95</v>
          </cell>
        </row>
        <row r="4">
          <cell r="A4" t="str">
            <v>AM02</v>
          </cell>
          <cell r="B4" t="str">
            <v>Aço D=6,3 mm CA 25</v>
          </cell>
          <cell r="C4" t="str">
            <v>kg</v>
          </cell>
          <cell r="D4">
            <v>0.9</v>
          </cell>
          <cell r="E4" t="str">
            <v>kg</v>
          </cell>
          <cell r="F4">
            <v>0.9</v>
          </cell>
        </row>
        <row r="5">
          <cell r="A5" t="str">
            <v>AM03</v>
          </cell>
          <cell r="B5" t="str">
            <v>Aço D=10 mm CA 25</v>
          </cell>
          <cell r="C5" t="str">
            <v>kg</v>
          </cell>
          <cell r="D5">
            <v>0.84</v>
          </cell>
          <cell r="E5" t="str">
            <v>kg</v>
          </cell>
          <cell r="F5">
            <v>0.84</v>
          </cell>
        </row>
        <row r="6">
          <cell r="A6" t="str">
            <v>AM04</v>
          </cell>
          <cell r="B6" t="str">
            <v>Aço D=6,3 mm CA 50</v>
          </cell>
          <cell r="C6" t="str">
            <v>kg</v>
          </cell>
          <cell r="D6">
            <v>0.95</v>
          </cell>
          <cell r="E6" t="str">
            <v>kg</v>
          </cell>
          <cell r="F6">
            <v>0.95</v>
          </cell>
        </row>
        <row r="7">
          <cell r="A7" t="str">
            <v>AM05</v>
          </cell>
          <cell r="B7" t="str">
            <v>Aço D=10 mm CA 50</v>
          </cell>
          <cell r="C7" t="str">
            <v>kg</v>
          </cell>
          <cell r="D7">
            <v>0.84</v>
          </cell>
          <cell r="E7" t="str">
            <v>kg</v>
          </cell>
          <cell r="F7">
            <v>0.84</v>
          </cell>
        </row>
        <row r="8">
          <cell r="A8" t="str">
            <v>AM06</v>
          </cell>
          <cell r="B8" t="str">
            <v>Aço D=4,2 mm CA 60</v>
          </cell>
          <cell r="C8" t="str">
            <v>kg</v>
          </cell>
          <cell r="D8">
            <v>0.98</v>
          </cell>
          <cell r="E8" t="str">
            <v>kg</v>
          </cell>
          <cell r="F8">
            <v>0.98</v>
          </cell>
        </row>
        <row r="9">
          <cell r="A9" t="str">
            <v>AM07</v>
          </cell>
          <cell r="B9" t="str">
            <v>Aço D=5,0 mm CA 60</v>
          </cell>
          <cell r="C9" t="str">
            <v>kg</v>
          </cell>
          <cell r="D9">
            <v>0.97</v>
          </cell>
          <cell r="E9" t="str">
            <v>kg</v>
          </cell>
          <cell r="F9">
            <v>0.97</v>
          </cell>
        </row>
        <row r="10">
          <cell r="A10" t="str">
            <v>AM08</v>
          </cell>
          <cell r="B10" t="str">
            <v>Aço D=6,0 mm CA 60</v>
          </cell>
          <cell r="C10" t="str">
            <v>kg</v>
          </cell>
          <cell r="D10">
            <v>0.97</v>
          </cell>
          <cell r="E10" t="str">
            <v>kg</v>
          </cell>
          <cell r="F10">
            <v>0.97</v>
          </cell>
        </row>
        <row r="11">
          <cell r="A11" t="str">
            <v>AM09</v>
          </cell>
          <cell r="B11" t="str">
            <v>Mandíbula móvel p/ britador 6240C</v>
          </cell>
          <cell r="C11" t="str">
            <v>un</v>
          </cell>
          <cell r="D11">
            <v>991.2</v>
          </cell>
          <cell r="E11" t="str">
            <v>u/h</v>
          </cell>
          <cell r="F11">
            <v>4.5888999999999998</v>
          </cell>
        </row>
        <row r="12">
          <cell r="A12" t="str">
            <v>AM10</v>
          </cell>
          <cell r="B12" t="str">
            <v>Mandíbula fixa p/ britador 6240C</v>
          </cell>
          <cell r="C12" t="str">
            <v>un</v>
          </cell>
          <cell r="D12">
            <v>1050</v>
          </cell>
          <cell r="E12" t="str">
            <v>u/h</v>
          </cell>
          <cell r="F12">
            <v>7.8947000000000003</v>
          </cell>
        </row>
        <row r="13">
          <cell r="A13" t="str">
            <v>AM11</v>
          </cell>
          <cell r="B13" t="str">
            <v>Revestimento móvel p/ britador 60TS</v>
          </cell>
          <cell r="C13" t="str">
            <v>un</v>
          </cell>
          <cell r="D13">
            <v>904.04</v>
          </cell>
          <cell r="E13" t="str">
            <v>u/h</v>
          </cell>
          <cell r="F13">
            <v>2.3727999999999998</v>
          </cell>
        </row>
        <row r="14">
          <cell r="A14" t="str">
            <v>AM12</v>
          </cell>
          <cell r="B14" t="str">
            <v>Revestimento fixo p/ britador 60TS</v>
          </cell>
          <cell r="C14" t="str">
            <v>un</v>
          </cell>
          <cell r="D14">
            <v>1214.8599999999999</v>
          </cell>
          <cell r="E14" t="str">
            <v>u/h</v>
          </cell>
          <cell r="F14">
            <v>3.0756000000000001</v>
          </cell>
        </row>
        <row r="15">
          <cell r="A15" t="str">
            <v>AM19</v>
          </cell>
          <cell r="B15" t="str">
            <v>Mandíbula fixa p/ britador 4230</v>
          </cell>
          <cell r="C15" t="str">
            <v>un</v>
          </cell>
          <cell r="D15">
            <v>476.7</v>
          </cell>
          <cell r="E15" t="str">
            <v>u/h</v>
          </cell>
          <cell r="F15">
            <v>3.1779999999999999</v>
          </cell>
        </row>
        <row r="16">
          <cell r="A16" t="str">
            <v>AM20</v>
          </cell>
          <cell r="B16" t="str">
            <v>Mandíbula móvel p/ britador 4230</v>
          </cell>
          <cell r="C16" t="str">
            <v>un</v>
          </cell>
          <cell r="D16">
            <v>476.7</v>
          </cell>
          <cell r="E16" t="str">
            <v>u/h</v>
          </cell>
          <cell r="F16">
            <v>4.7670000000000003</v>
          </cell>
        </row>
        <row r="17">
          <cell r="A17" t="str">
            <v>AM25</v>
          </cell>
          <cell r="B17" t="str">
            <v>Mandíbula móvel para britador 80x50</v>
          </cell>
          <cell r="C17" t="str">
            <v>un</v>
          </cell>
          <cell r="D17">
            <v>2415</v>
          </cell>
          <cell r="E17" t="str">
            <v>u/h</v>
          </cell>
          <cell r="F17">
            <v>9.66</v>
          </cell>
        </row>
        <row r="18">
          <cell r="A18" t="str">
            <v>AM26</v>
          </cell>
          <cell r="B18" t="str">
            <v>Mandíbula fixa para britador 80x50</v>
          </cell>
          <cell r="C18" t="str">
            <v>un</v>
          </cell>
          <cell r="D18">
            <v>2261.69</v>
          </cell>
          <cell r="E18" t="str">
            <v>u/h</v>
          </cell>
          <cell r="F18">
            <v>5.1755000000000004</v>
          </cell>
        </row>
        <row r="19">
          <cell r="A19" t="str">
            <v>AM27</v>
          </cell>
          <cell r="B19" t="str">
            <v>Revestimento móvel p/ britador 90TS</v>
          </cell>
          <cell r="C19" t="str">
            <v>un</v>
          </cell>
          <cell r="D19">
            <v>1653.77</v>
          </cell>
          <cell r="E19" t="str">
            <v>u/h</v>
          </cell>
          <cell r="F19">
            <v>4.8928000000000003</v>
          </cell>
        </row>
        <row r="20">
          <cell r="A20" t="str">
            <v>AM28</v>
          </cell>
          <cell r="B20" t="str">
            <v>Revestimento fixo p/ britador 90TS</v>
          </cell>
          <cell r="C20" t="str">
            <v>un</v>
          </cell>
          <cell r="D20">
            <v>2144.12</v>
          </cell>
          <cell r="E20" t="str">
            <v>u/h</v>
          </cell>
          <cell r="F20">
            <v>4.8730000000000002</v>
          </cell>
        </row>
        <row r="21">
          <cell r="A21" t="str">
            <v>AM29</v>
          </cell>
          <cell r="B21" t="str">
            <v>Revestimento móvel p/ britador 90TF</v>
          </cell>
          <cell r="C21" t="str">
            <v>un</v>
          </cell>
          <cell r="D21">
            <v>1417.5</v>
          </cell>
          <cell r="E21" t="str">
            <v>u/h</v>
          </cell>
          <cell r="F21">
            <v>14.318199999999999</v>
          </cell>
        </row>
        <row r="22">
          <cell r="A22" t="str">
            <v>AM30</v>
          </cell>
          <cell r="B22" t="str">
            <v>Revestimento fixo p/ britador 90TF</v>
          </cell>
          <cell r="C22" t="str">
            <v>un</v>
          </cell>
          <cell r="D22">
            <v>1375.5</v>
          </cell>
          <cell r="E22" t="str">
            <v>u/h</v>
          </cell>
          <cell r="F22">
            <v>11.004</v>
          </cell>
        </row>
        <row r="23">
          <cell r="A23" t="str">
            <v>AM35</v>
          </cell>
          <cell r="B23" t="str">
            <v>Brita 1</v>
          </cell>
          <cell r="C23" t="str">
            <v>m3</v>
          </cell>
          <cell r="D23">
            <v>25</v>
          </cell>
          <cell r="E23" t="str">
            <v>m3</v>
          </cell>
          <cell r="F23">
            <v>25</v>
          </cell>
        </row>
        <row r="24">
          <cell r="A24" t="str">
            <v>AM36</v>
          </cell>
          <cell r="B24" t="str">
            <v>Brita 2</v>
          </cell>
          <cell r="C24" t="str">
            <v>m3</v>
          </cell>
          <cell r="D24">
            <v>25</v>
          </cell>
          <cell r="E24" t="str">
            <v>m3</v>
          </cell>
          <cell r="F24">
            <v>25</v>
          </cell>
        </row>
        <row r="25">
          <cell r="A25" t="str">
            <v>AM37</v>
          </cell>
          <cell r="B25" t="str">
            <v>Brita 3</v>
          </cell>
          <cell r="C25" t="str">
            <v>m3</v>
          </cell>
          <cell r="D25">
            <v>25</v>
          </cell>
          <cell r="E25" t="str">
            <v>m3</v>
          </cell>
          <cell r="F25">
            <v>25</v>
          </cell>
        </row>
        <row r="26">
          <cell r="A26" t="str">
            <v>F801</v>
          </cell>
          <cell r="B26" t="str">
            <v>Bomba hidráulica alta pressão MAC</v>
          </cell>
          <cell r="C26" t="str">
            <v>dia</v>
          </cell>
          <cell r="D26">
            <v>288</v>
          </cell>
          <cell r="E26" t="str">
            <v>h</v>
          </cell>
          <cell r="F26">
            <v>36</v>
          </cell>
        </row>
        <row r="27">
          <cell r="A27" t="str">
            <v>F802</v>
          </cell>
          <cell r="B27" t="str">
            <v>Bomba eletr p/ injeção de nata MAC</v>
          </cell>
          <cell r="C27" t="str">
            <v>dia</v>
          </cell>
          <cell r="D27">
            <v>203.52</v>
          </cell>
          <cell r="E27" t="str">
            <v>h</v>
          </cell>
          <cell r="F27">
            <v>25.44</v>
          </cell>
        </row>
        <row r="28">
          <cell r="A28" t="str">
            <v>F803</v>
          </cell>
          <cell r="B28" t="str">
            <v>Macaco p/ protensão MAC 7</v>
          </cell>
          <cell r="C28" t="str">
            <v>dia</v>
          </cell>
          <cell r="D28">
            <v>186.97</v>
          </cell>
          <cell r="E28" t="str">
            <v>h</v>
          </cell>
          <cell r="F28">
            <v>23.371200000000002</v>
          </cell>
        </row>
        <row r="29">
          <cell r="A29" t="str">
            <v>F804</v>
          </cell>
          <cell r="B29" t="str">
            <v>Macaco p/ protensão MAC 12</v>
          </cell>
          <cell r="C29" t="str">
            <v>dia</v>
          </cell>
          <cell r="D29">
            <v>186.41</v>
          </cell>
          <cell r="E29" t="str">
            <v>h</v>
          </cell>
          <cell r="F29">
            <v>23.301200000000001</v>
          </cell>
        </row>
        <row r="30">
          <cell r="A30" t="str">
            <v>F805</v>
          </cell>
          <cell r="B30" t="str">
            <v>Macaco p/ protensão MAC 4</v>
          </cell>
          <cell r="C30" t="str">
            <v>dia</v>
          </cell>
          <cell r="D30">
            <v>183.45</v>
          </cell>
          <cell r="E30" t="str">
            <v>h</v>
          </cell>
          <cell r="F30">
            <v>22.9312</v>
          </cell>
        </row>
        <row r="31">
          <cell r="A31" t="str">
            <v>F807</v>
          </cell>
          <cell r="B31" t="str">
            <v>Bomba hidr. alta pressão STUP</v>
          </cell>
          <cell r="C31" t="str">
            <v>dia</v>
          </cell>
          <cell r="D31">
            <v>375</v>
          </cell>
          <cell r="E31" t="str">
            <v>h</v>
          </cell>
          <cell r="F31">
            <v>46.875</v>
          </cell>
        </row>
        <row r="32">
          <cell r="A32" t="str">
            <v>F808</v>
          </cell>
          <cell r="B32" t="str">
            <v>Bomba eletr. injeção de nata STUP</v>
          </cell>
          <cell r="C32" t="str">
            <v>dia</v>
          </cell>
          <cell r="D32">
            <v>385</v>
          </cell>
          <cell r="E32" t="str">
            <v>h</v>
          </cell>
          <cell r="F32">
            <v>48.125</v>
          </cell>
        </row>
        <row r="33">
          <cell r="A33" t="str">
            <v>F809</v>
          </cell>
          <cell r="B33" t="str">
            <v>Macaco p/ protensão STUP</v>
          </cell>
          <cell r="C33" t="str">
            <v>dia</v>
          </cell>
          <cell r="D33">
            <v>368</v>
          </cell>
          <cell r="E33" t="str">
            <v>h</v>
          </cell>
          <cell r="F33">
            <v>46</v>
          </cell>
        </row>
        <row r="34">
          <cell r="A34" t="str">
            <v>F810</v>
          </cell>
          <cell r="B34" t="str">
            <v>Macaco p/ protensão STUP</v>
          </cell>
          <cell r="C34" t="str">
            <v>dia</v>
          </cell>
          <cell r="D34">
            <v>378</v>
          </cell>
          <cell r="E34" t="str">
            <v>h</v>
          </cell>
          <cell r="F34">
            <v>47.25</v>
          </cell>
        </row>
        <row r="35">
          <cell r="A35" t="str">
            <v>F811</v>
          </cell>
          <cell r="B35" t="str">
            <v>Macaco p/ protensão STUP</v>
          </cell>
          <cell r="C35" t="str">
            <v>dia</v>
          </cell>
          <cell r="D35">
            <v>426</v>
          </cell>
          <cell r="E35" t="str">
            <v>h</v>
          </cell>
          <cell r="F35">
            <v>53.25</v>
          </cell>
        </row>
        <row r="36">
          <cell r="A36" t="str">
            <v>F812</v>
          </cell>
          <cell r="B36" t="str">
            <v>Macaco p/ protensão STUP</v>
          </cell>
          <cell r="C36" t="str">
            <v>dia</v>
          </cell>
          <cell r="D36">
            <v>352</v>
          </cell>
          <cell r="E36" t="str">
            <v>h</v>
          </cell>
          <cell r="F36">
            <v>44</v>
          </cell>
        </row>
        <row r="37">
          <cell r="A37" t="str">
            <v>F813</v>
          </cell>
          <cell r="B37" t="str">
            <v>Macaco p/ prot. de tirante D=32mm</v>
          </cell>
          <cell r="C37" t="str">
            <v>dia</v>
          </cell>
          <cell r="D37">
            <v>36.75</v>
          </cell>
          <cell r="E37" t="str">
            <v>h</v>
          </cell>
          <cell r="F37">
            <v>4.5937999999999999</v>
          </cell>
        </row>
        <row r="38">
          <cell r="A38" t="str">
            <v>F814</v>
          </cell>
          <cell r="B38" t="str">
            <v>Injeção de nata de cimento</v>
          </cell>
          <cell r="C38" t="str">
            <v>m</v>
          </cell>
          <cell r="D38">
            <v>4.09</v>
          </cell>
          <cell r="E38" t="str">
            <v>m</v>
          </cell>
          <cell r="F38">
            <v>4.09</v>
          </cell>
        </row>
        <row r="39">
          <cell r="A39" t="str">
            <v>F943</v>
          </cell>
          <cell r="B39" t="str">
            <v>Terra Armada - moldes metálicos</v>
          </cell>
          <cell r="C39" t="str">
            <v>cj</v>
          </cell>
          <cell r="D39">
            <v>0.51</v>
          </cell>
          <cell r="E39" t="str">
            <v>cj</v>
          </cell>
          <cell r="F39">
            <v>0.51</v>
          </cell>
        </row>
        <row r="40">
          <cell r="A40" t="str">
            <v>M001</v>
          </cell>
          <cell r="B40" t="str">
            <v>Gasolina</v>
          </cell>
          <cell r="C40" t="str">
            <v>l</v>
          </cell>
          <cell r="D40">
            <v>1.66</v>
          </cell>
          <cell r="E40" t="str">
            <v>l</v>
          </cell>
          <cell r="F40">
            <v>1.66</v>
          </cell>
        </row>
        <row r="41">
          <cell r="A41" t="str">
            <v>M002</v>
          </cell>
          <cell r="B41" t="str">
            <v>Diesel</v>
          </cell>
          <cell r="C41" t="str">
            <v>l</v>
          </cell>
          <cell r="D41">
            <v>0.87</v>
          </cell>
          <cell r="E41" t="str">
            <v>l</v>
          </cell>
          <cell r="F41">
            <v>0.87</v>
          </cell>
        </row>
        <row r="42">
          <cell r="A42" t="str">
            <v>M003</v>
          </cell>
          <cell r="B42" t="str">
            <v>Óleo combustível 1A</v>
          </cell>
          <cell r="C42" t="str">
            <v>l</v>
          </cell>
          <cell r="D42">
            <v>0.46</v>
          </cell>
          <cell r="E42" t="str">
            <v>l</v>
          </cell>
          <cell r="F42">
            <v>0.46479999999999999</v>
          </cell>
        </row>
        <row r="43">
          <cell r="A43" t="str">
            <v>M004</v>
          </cell>
          <cell r="B43" t="str">
            <v>Álcool</v>
          </cell>
          <cell r="C43" t="str">
            <v>l</v>
          </cell>
          <cell r="D43">
            <v>1.19</v>
          </cell>
          <cell r="E43" t="str">
            <v>l</v>
          </cell>
          <cell r="F43">
            <v>1.19</v>
          </cell>
        </row>
        <row r="44">
          <cell r="A44" t="str">
            <v>M005</v>
          </cell>
          <cell r="B44" t="str">
            <v>Energia elétrica</v>
          </cell>
          <cell r="C44" t="str">
            <v>kwh</v>
          </cell>
          <cell r="D44">
            <v>0.21</v>
          </cell>
          <cell r="E44" t="str">
            <v>kwh</v>
          </cell>
          <cell r="F44">
            <v>0.21010000000000001</v>
          </cell>
        </row>
        <row r="45">
          <cell r="A45" t="str">
            <v>M101</v>
          </cell>
          <cell r="B45" t="str">
            <v>Cimento asfáltico CAP-20</v>
          </cell>
          <cell r="C45" t="str">
            <v>t</v>
          </cell>
          <cell r="D45">
            <v>0</v>
          </cell>
          <cell r="E45" t="str">
            <v>t</v>
          </cell>
          <cell r="F45">
            <v>0</v>
          </cell>
        </row>
        <row r="46">
          <cell r="A46" t="str">
            <v>M102</v>
          </cell>
          <cell r="B46" t="str">
            <v>Cimento asfáltico CAP-40</v>
          </cell>
          <cell r="C46" t="str">
            <v>t</v>
          </cell>
          <cell r="D46">
            <v>0</v>
          </cell>
          <cell r="E46" t="str">
            <v>t</v>
          </cell>
          <cell r="F46">
            <v>0</v>
          </cell>
        </row>
        <row r="47">
          <cell r="A47" t="str">
            <v>M103</v>
          </cell>
          <cell r="B47" t="str">
            <v>Asfalto diluído CM-30</v>
          </cell>
          <cell r="C47" t="str">
            <v>t</v>
          </cell>
          <cell r="D47">
            <v>784.1</v>
          </cell>
          <cell r="E47" t="str">
            <v>t</v>
          </cell>
          <cell r="F47">
            <v>0</v>
          </cell>
        </row>
        <row r="48">
          <cell r="A48" t="str">
            <v>M104</v>
          </cell>
          <cell r="B48" t="str">
            <v>Emulsão asfáltica RR-1C</v>
          </cell>
          <cell r="C48" t="str">
            <v>t</v>
          </cell>
          <cell r="D48">
            <v>484.1</v>
          </cell>
          <cell r="E48" t="str">
            <v>t</v>
          </cell>
          <cell r="F48">
            <v>0</v>
          </cell>
        </row>
        <row r="49">
          <cell r="A49" t="str">
            <v>M105</v>
          </cell>
          <cell r="B49" t="str">
            <v>Emulsão asfáltica RR-2C</v>
          </cell>
          <cell r="C49" t="str">
            <v>t</v>
          </cell>
          <cell r="D49">
            <v>0</v>
          </cell>
          <cell r="E49" t="str">
            <v>t</v>
          </cell>
          <cell r="F49">
            <v>0</v>
          </cell>
        </row>
        <row r="50">
          <cell r="A50" t="str">
            <v>M106</v>
          </cell>
          <cell r="B50" t="str">
            <v>Cimento asfáltico CAP 7</v>
          </cell>
          <cell r="C50" t="str">
            <v>t</v>
          </cell>
          <cell r="D50">
            <v>0</v>
          </cell>
          <cell r="E50" t="str">
            <v>t</v>
          </cell>
          <cell r="F50">
            <v>0</v>
          </cell>
        </row>
        <row r="51">
          <cell r="A51" t="str">
            <v>M107</v>
          </cell>
          <cell r="B51" t="str">
            <v>Emulsão asfáltica RM-1C</v>
          </cell>
          <cell r="C51" t="str">
            <v>t</v>
          </cell>
          <cell r="D51">
            <v>617.9</v>
          </cell>
          <cell r="E51" t="str">
            <v>t</v>
          </cell>
          <cell r="F51">
            <v>0</v>
          </cell>
        </row>
        <row r="52">
          <cell r="A52" t="str">
            <v>M108</v>
          </cell>
          <cell r="B52" t="str">
            <v>Emulsão asfáltica RM-2C</v>
          </cell>
          <cell r="C52" t="str">
            <v>t</v>
          </cell>
          <cell r="D52">
            <v>662.8</v>
          </cell>
          <cell r="E52" t="str">
            <v>t</v>
          </cell>
          <cell r="F52">
            <v>0</v>
          </cell>
        </row>
        <row r="53">
          <cell r="A53" t="str">
            <v>M109</v>
          </cell>
          <cell r="B53" t="str">
            <v>Emulsão asfáltica RL-1C</v>
          </cell>
          <cell r="C53" t="str">
            <v>t</v>
          </cell>
          <cell r="D53">
            <v>615</v>
          </cell>
          <cell r="E53" t="str">
            <v>t</v>
          </cell>
          <cell r="F53">
            <v>0</v>
          </cell>
        </row>
        <row r="54">
          <cell r="A54" t="str">
            <v>M110</v>
          </cell>
          <cell r="B54" t="str">
            <v>Emulsão polim. p/ micro-rev. a frio</v>
          </cell>
          <cell r="C54" t="str">
            <v>t</v>
          </cell>
          <cell r="D54">
            <v>0</v>
          </cell>
          <cell r="E54" t="str">
            <v>t</v>
          </cell>
          <cell r="F54">
            <v>0</v>
          </cell>
        </row>
        <row r="55">
          <cell r="A55" t="str">
            <v>M111</v>
          </cell>
          <cell r="B55" t="str">
            <v>Aditivo p/ controle de ruptura</v>
          </cell>
          <cell r="C55" t="str">
            <v>kg</v>
          </cell>
          <cell r="D55">
            <v>1.5</v>
          </cell>
          <cell r="E55" t="str">
            <v>kg</v>
          </cell>
          <cell r="F55">
            <v>1.5</v>
          </cell>
        </row>
        <row r="56">
          <cell r="A56" t="str">
            <v>M112</v>
          </cell>
          <cell r="B56" t="str">
            <v>Aditivo sólido (fibras)</v>
          </cell>
          <cell r="C56" t="str">
            <v>kg</v>
          </cell>
          <cell r="D56">
            <v>2.2000000000000002</v>
          </cell>
          <cell r="E56" t="str">
            <v>kg</v>
          </cell>
          <cell r="F56">
            <v>2.2000000000000002</v>
          </cell>
        </row>
        <row r="57">
          <cell r="A57" t="str">
            <v>M114</v>
          </cell>
          <cell r="B57" t="str">
            <v>Agente rejuv. p/ recicl. a quente</v>
          </cell>
          <cell r="C57" t="str">
            <v>t</v>
          </cell>
          <cell r="D57">
            <v>0</v>
          </cell>
          <cell r="E57" t="str">
            <v>t</v>
          </cell>
          <cell r="F57">
            <v>0</v>
          </cell>
        </row>
        <row r="58">
          <cell r="A58" t="str">
            <v>M201</v>
          </cell>
          <cell r="B58" t="str">
            <v>Cimento portland CP-32 (a granel)</v>
          </cell>
          <cell r="C58" t="str">
            <v>kg</v>
          </cell>
          <cell r="D58">
            <v>0.158</v>
          </cell>
          <cell r="E58" t="str">
            <v>kg</v>
          </cell>
          <cell r="F58">
            <v>0.2</v>
          </cell>
        </row>
        <row r="59">
          <cell r="A59" t="str">
            <v>M202</v>
          </cell>
          <cell r="B59" t="str">
            <v>Cimento portland CP-32</v>
          </cell>
          <cell r="C59" t="str">
            <v>kg</v>
          </cell>
          <cell r="D59">
            <v>0.20319999999999999</v>
          </cell>
          <cell r="E59" t="str">
            <v>sc</v>
          </cell>
          <cell r="F59">
            <v>10.16</v>
          </cell>
        </row>
        <row r="60">
          <cell r="A60" t="str">
            <v>M307</v>
          </cell>
          <cell r="B60" t="str">
            <v>Cordoalha CP-190 RB D=12,7mm</v>
          </cell>
          <cell r="C60" t="str">
            <v>kg</v>
          </cell>
          <cell r="D60">
            <v>2</v>
          </cell>
          <cell r="E60" t="str">
            <v>kg</v>
          </cell>
          <cell r="F60">
            <v>2</v>
          </cell>
        </row>
        <row r="61">
          <cell r="A61" t="str">
            <v>M319</v>
          </cell>
          <cell r="B61" t="str">
            <v>Arame recozido nº. 18</v>
          </cell>
          <cell r="C61" t="str">
            <v>kg</v>
          </cell>
          <cell r="D61">
            <v>1.72</v>
          </cell>
          <cell r="E61" t="str">
            <v>kg</v>
          </cell>
          <cell r="F61">
            <v>1.72</v>
          </cell>
        </row>
        <row r="62">
          <cell r="A62" t="str">
            <v>M320</v>
          </cell>
          <cell r="B62" t="str">
            <v>Pregos (18x30)</v>
          </cell>
          <cell r="C62" t="str">
            <v>kg</v>
          </cell>
          <cell r="D62">
            <v>1.46</v>
          </cell>
          <cell r="E62" t="str">
            <v>kg</v>
          </cell>
          <cell r="F62">
            <v>1.46</v>
          </cell>
        </row>
        <row r="63">
          <cell r="A63" t="str">
            <v>M321</v>
          </cell>
          <cell r="B63" t="str">
            <v>Arame farpado nº. 16 galv. simples</v>
          </cell>
          <cell r="C63" t="str">
            <v>m</v>
          </cell>
          <cell r="D63">
            <v>0.09</v>
          </cell>
          <cell r="E63" t="str">
            <v>rl</v>
          </cell>
          <cell r="F63">
            <v>22.5</v>
          </cell>
        </row>
        <row r="64">
          <cell r="A64" t="str">
            <v>M322</v>
          </cell>
          <cell r="B64" t="str">
            <v>Grampo para cerca galvanizado 1 x 9</v>
          </cell>
          <cell r="C64" t="str">
            <v>kg</v>
          </cell>
          <cell r="D64">
            <v>1.85</v>
          </cell>
          <cell r="E64" t="str">
            <v>kg</v>
          </cell>
          <cell r="F64">
            <v>1.85</v>
          </cell>
        </row>
        <row r="65">
          <cell r="A65" t="str">
            <v>M323</v>
          </cell>
          <cell r="B65" t="str">
            <v>Cantoneira de aço 4" x 4" x 3/8"</v>
          </cell>
          <cell r="C65" t="str">
            <v>kg</v>
          </cell>
          <cell r="D65">
            <v>0.88</v>
          </cell>
          <cell r="E65" t="str">
            <v>kg</v>
          </cell>
          <cell r="F65">
            <v>0.88</v>
          </cell>
        </row>
        <row r="66">
          <cell r="A66" t="str">
            <v>M324</v>
          </cell>
          <cell r="B66" t="str">
            <v>Pórtico metálico (15 a 17m de vão)</v>
          </cell>
          <cell r="C66" t="str">
            <v>un</v>
          </cell>
          <cell r="D66">
            <v>13500</v>
          </cell>
          <cell r="E66" t="str">
            <v>un</v>
          </cell>
          <cell r="F66">
            <v>13500</v>
          </cell>
        </row>
        <row r="67">
          <cell r="A67" t="str">
            <v>M325</v>
          </cell>
          <cell r="B67" t="str">
            <v>Trilho metálico TR-37 (usado)</v>
          </cell>
          <cell r="C67" t="str">
            <v>kg</v>
          </cell>
          <cell r="D67">
            <v>0.65</v>
          </cell>
          <cell r="E67" t="str">
            <v>kg</v>
          </cell>
          <cell r="F67">
            <v>0.65</v>
          </cell>
        </row>
        <row r="68">
          <cell r="A68" t="str">
            <v>M326</v>
          </cell>
          <cell r="B68" t="str">
            <v>Série de brocas S-12 D=22 mm</v>
          </cell>
          <cell r="C68" t="str">
            <v>un</v>
          </cell>
          <cell r="D68">
            <v>1121.06</v>
          </cell>
          <cell r="E68" t="str">
            <v>un</v>
          </cell>
          <cell r="F68">
            <v>1121.06</v>
          </cell>
        </row>
        <row r="69">
          <cell r="A69" t="str">
            <v>M328</v>
          </cell>
          <cell r="B69" t="str">
            <v>Luva de emenda D=32mm</v>
          </cell>
          <cell r="C69" t="str">
            <v>un</v>
          </cell>
          <cell r="D69">
            <v>23.65</v>
          </cell>
          <cell r="E69" t="str">
            <v>un</v>
          </cell>
          <cell r="F69">
            <v>23.65</v>
          </cell>
        </row>
        <row r="70">
          <cell r="A70" t="str">
            <v>M330</v>
          </cell>
          <cell r="B70" t="str">
            <v>Calha met. semicircular D=40 cm</v>
          </cell>
          <cell r="C70" t="str">
            <v>m</v>
          </cell>
          <cell r="D70">
            <v>55</v>
          </cell>
          <cell r="E70" t="str">
            <v>m</v>
          </cell>
          <cell r="F70">
            <v>55</v>
          </cell>
        </row>
        <row r="71">
          <cell r="A71" t="str">
            <v>M331</v>
          </cell>
          <cell r="B71" t="str">
            <v>Paraf. fixação calha met. (1/2"x1")</v>
          </cell>
          <cell r="C71" t="str">
            <v>un</v>
          </cell>
          <cell r="D71">
            <v>0.42</v>
          </cell>
          <cell r="E71" t="str">
            <v>un</v>
          </cell>
          <cell r="F71">
            <v>0.42</v>
          </cell>
        </row>
        <row r="72">
          <cell r="A72" t="str">
            <v>M332</v>
          </cell>
          <cell r="B72" t="str">
            <v>Paraf. forma de madeira (1/2"x3")</v>
          </cell>
          <cell r="C72" t="str">
            <v>kg</v>
          </cell>
          <cell r="D72">
            <v>12.6</v>
          </cell>
          <cell r="E72" t="str">
            <v>kg</v>
          </cell>
          <cell r="F72">
            <v>12.6</v>
          </cell>
        </row>
        <row r="73">
          <cell r="A73" t="str">
            <v>M334</v>
          </cell>
          <cell r="B73" t="str">
            <v>Paraf. zinc. c/ fenda 1 1/2"x3/16"</v>
          </cell>
          <cell r="C73" t="str">
            <v>un</v>
          </cell>
          <cell r="D73">
            <v>0.06</v>
          </cell>
          <cell r="E73" t="str">
            <v>un</v>
          </cell>
          <cell r="F73">
            <v>0.06</v>
          </cell>
        </row>
        <row r="74">
          <cell r="A74" t="str">
            <v>M335</v>
          </cell>
          <cell r="B74" t="str">
            <v>Paraf. zincado francês 4" x 5/16"</v>
          </cell>
          <cell r="C74" t="str">
            <v>un</v>
          </cell>
          <cell r="D74">
            <v>0.33</v>
          </cell>
          <cell r="E74" t="str">
            <v>un</v>
          </cell>
          <cell r="F74">
            <v>0.33</v>
          </cell>
        </row>
        <row r="75">
          <cell r="A75" t="str">
            <v>M338</v>
          </cell>
          <cell r="B75" t="str">
            <v>Cano de ferro D=3/4"</v>
          </cell>
          <cell r="C75" t="str">
            <v>m</v>
          </cell>
          <cell r="D75">
            <v>1.92</v>
          </cell>
          <cell r="E75" t="str">
            <v>pç</v>
          </cell>
          <cell r="F75">
            <v>11.52</v>
          </cell>
        </row>
        <row r="76">
          <cell r="A76" t="str">
            <v>M339</v>
          </cell>
          <cell r="B76" t="str">
            <v>Cantoneira ferro (3,0"x3,0"x3/8")</v>
          </cell>
          <cell r="C76" t="str">
            <v>kg</v>
          </cell>
          <cell r="D76">
            <v>0.86</v>
          </cell>
          <cell r="E76" t="str">
            <v>kg</v>
          </cell>
          <cell r="F76">
            <v>0.86</v>
          </cell>
        </row>
        <row r="77">
          <cell r="A77" t="str">
            <v>M340</v>
          </cell>
          <cell r="B77" t="str">
            <v>Tampão de ferro fundido</v>
          </cell>
          <cell r="C77" t="str">
            <v>un</v>
          </cell>
          <cell r="D77">
            <v>135.31</v>
          </cell>
          <cell r="E77" t="str">
            <v>un</v>
          </cell>
          <cell r="F77">
            <v>135.31</v>
          </cell>
        </row>
        <row r="78">
          <cell r="A78" t="str">
            <v>M341</v>
          </cell>
          <cell r="B78" t="str">
            <v>Defensa met. maleável simples</v>
          </cell>
          <cell r="C78" t="str">
            <v>mod</v>
          </cell>
          <cell r="D78">
            <v>546</v>
          </cell>
          <cell r="E78" t="str">
            <v>mod</v>
          </cell>
          <cell r="F78">
            <v>546</v>
          </cell>
        </row>
        <row r="79">
          <cell r="A79" t="str">
            <v>M342</v>
          </cell>
          <cell r="B79" t="str">
            <v>Defensa met. maleável dupla</v>
          </cell>
          <cell r="C79" t="str">
            <v>mod</v>
          </cell>
          <cell r="D79">
            <v>680</v>
          </cell>
          <cell r="E79" t="str">
            <v>mod</v>
          </cell>
          <cell r="F79">
            <v>680</v>
          </cell>
        </row>
        <row r="80">
          <cell r="A80" t="str">
            <v>M343</v>
          </cell>
          <cell r="B80" t="str">
            <v>Defensa met. semi-maleável simples</v>
          </cell>
          <cell r="C80" t="str">
            <v>mod</v>
          </cell>
          <cell r="D80">
            <v>360</v>
          </cell>
          <cell r="E80" t="str">
            <v>mod</v>
          </cell>
          <cell r="F80">
            <v>360</v>
          </cell>
        </row>
        <row r="81">
          <cell r="A81" t="str">
            <v>M344</v>
          </cell>
          <cell r="B81" t="str">
            <v>Defensa met. semi-maleável dupla</v>
          </cell>
          <cell r="C81" t="str">
            <v>mod</v>
          </cell>
          <cell r="D81">
            <v>618</v>
          </cell>
          <cell r="E81" t="str">
            <v>mod</v>
          </cell>
          <cell r="F81">
            <v>618</v>
          </cell>
        </row>
        <row r="82">
          <cell r="A82" t="str">
            <v>M345</v>
          </cell>
          <cell r="B82" t="str">
            <v>Chapa de aço n. 28 (fina)</v>
          </cell>
          <cell r="C82" t="str">
            <v>kg</v>
          </cell>
          <cell r="D82">
            <v>1.665</v>
          </cell>
          <cell r="E82" t="str">
            <v>kg</v>
          </cell>
          <cell r="F82">
            <v>1.67</v>
          </cell>
        </row>
        <row r="83">
          <cell r="A83" t="str">
            <v>M346</v>
          </cell>
          <cell r="B83" t="str">
            <v>Chapa de aço n. 16 (tratada)</v>
          </cell>
          <cell r="C83" t="str">
            <v>m2</v>
          </cell>
          <cell r="D83">
            <v>17.5</v>
          </cell>
          <cell r="E83" t="str">
            <v>m2</v>
          </cell>
          <cell r="F83">
            <v>17.5</v>
          </cell>
        </row>
        <row r="84">
          <cell r="A84" t="str">
            <v>M347</v>
          </cell>
          <cell r="B84" t="str">
            <v>Dente p/ fresadora 1000 C</v>
          </cell>
          <cell r="C84" t="str">
            <v>un</v>
          </cell>
          <cell r="D84">
            <v>19.260000000000002</v>
          </cell>
          <cell r="E84" t="str">
            <v>un</v>
          </cell>
          <cell r="F84">
            <v>19.260000000000002</v>
          </cell>
        </row>
        <row r="85">
          <cell r="A85" t="str">
            <v>M348</v>
          </cell>
          <cell r="B85" t="str">
            <v>Porta dente p/ fresadora 1000 C</v>
          </cell>
          <cell r="C85" t="str">
            <v>un</v>
          </cell>
          <cell r="D85">
            <v>42.94</v>
          </cell>
          <cell r="E85" t="str">
            <v>un</v>
          </cell>
          <cell r="F85">
            <v>42.94</v>
          </cell>
        </row>
        <row r="86">
          <cell r="A86" t="str">
            <v>M349</v>
          </cell>
          <cell r="B86" t="str">
            <v>Dente p/ fresadora 2000 DC</v>
          </cell>
          <cell r="C86" t="str">
            <v>un</v>
          </cell>
          <cell r="D86">
            <v>19.260000000000002</v>
          </cell>
          <cell r="E86" t="str">
            <v>un</v>
          </cell>
          <cell r="F86">
            <v>19.260000000000002</v>
          </cell>
        </row>
        <row r="87">
          <cell r="A87" t="str">
            <v>M350</v>
          </cell>
          <cell r="B87" t="str">
            <v>Porta dente p/ fresadora 2000 DC</v>
          </cell>
          <cell r="C87" t="str">
            <v>un</v>
          </cell>
          <cell r="D87">
            <v>68.8</v>
          </cell>
          <cell r="E87" t="str">
            <v>un</v>
          </cell>
          <cell r="F87">
            <v>68.8</v>
          </cell>
        </row>
        <row r="88">
          <cell r="A88" t="str">
            <v>M351</v>
          </cell>
          <cell r="B88" t="str">
            <v>Estrut. (tunnel liner) D=1,6m galv.</v>
          </cell>
          <cell r="C88" t="str">
            <v>m</v>
          </cell>
          <cell r="D88">
            <v>827</v>
          </cell>
          <cell r="E88" t="str">
            <v>m</v>
          </cell>
          <cell r="F88">
            <v>827</v>
          </cell>
        </row>
        <row r="89">
          <cell r="A89" t="str">
            <v>M352</v>
          </cell>
          <cell r="B89" t="str">
            <v>Estrut. (tunnel liner) D=2,0m galv.</v>
          </cell>
          <cell r="C89" t="str">
            <v>m</v>
          </cell>
          <cell r="D89">
            <v>1036</v>
          </cell>
          <cell r="E89" t="str">
            <v>m</v>
          </cell>
          <cell r="F89">
            <v>1036</v>
          </cell>
        </row>
        <row r="90">
          <cell r="A90" t="str">
            <v>M353</v>
          </cell>
          <cell r="B90" t="str">
            <v>Estrut. (tunnel liner) D=1,6m epoxy</v>
          </cell>
          <cell r="C90" t="str">
            <v>m</v>
          </cell>
          <cell r="D90">
            <v>1296</v>
          </cell>
          <cell r="E90" t="str">
            <v>m</v>
          </cell>
          <cell r="F90">
            <v>1296</v>
          </cell>
        </row>
        <row r="91">
          <cell r="A91" t="str">
            <v>M354</v>
          </cell>
          <cell r="B91" t="str">
            <v>Estrut, (tunnel liner) D=2,0m epoxy</v>
          </cell>
          <cell r="C91" t="str">
            <v>m</v>
          </cell>
          <cell r="D91">
            <v>1117</v>
          </cell>
          <cell r="E91" t="str">
            <v>m</v>
          </cell>
          <cell r="F91">
            <v>1117</v>
          </cell>
        </row>
        <row r="92">
          <cell r="A92" t="str">
            <v>M355</v>
          </cell>
          <cell r="B92" t="str">
            <v>Chapa mult. D=1,60 m rev. galv.</v>
          </cell>
          <cell r="C92" t="str">
            <v>m</v>
          </cell>
          <cell r="D92">
            <v>980</v>
          </cell>
          <cell r="E92" t="str">
            <v>m</v>
          </cell>
          <cell r="F92">
            <v>980</v>
          </cell>
        </row>
        <row r="93">
          <cell r="A93" t="str">
            <v>M356</v>
          </cell>
          <cell r="B93" t="str">
            <v>Chapa mult. D=2,00 m rev. galv.</v>
          </cell>
          <cell r="C93" t="str">
            <v>m</v>
          </cell>
          <cell r="D93">
            <v>1225</v>
          </cell>
          <cell r="E93" t="str">
            <v>m</v>
          </cell>
          <cell r="F93">
            <v>1225</v>
          </cell>
        </row>
        <row r="94">
          <cell r="A94" t="str">
            <v>M357</v>
          </cell>
          <cell r="B94" t="str">
            <v>Chapa mult. D=1,60 m rev. epoxy</v>
          </cell>
          <cell r="C94" t="str">
            <v>m</v>
          </cell>
          <cell r="D94">
            <v>1060</v>
          </cell>
          <cell r="E94" t="str">
            <v>m</v>
          </cell>
          <cell r="F94">
            <v>1060</v>
          </cell>
        </row>
        <row r="95">
          <cell r="A95" t="str">
            <v>M358</v>
          </cell>
          <cell r="B95" t="str">
            <v>Chapa mult. D=2,00 m rev. epoxy</v>
          </cell>
          <cell r="C95" t="str">
            <v>m</v>
          </cell>
          <cell r="D95">
            <v>1325</v>
          </cell>
          <cell r="E95" t="str">
            <v>m</v>
          </cell>
          <cell r="F95">
            <v>1325</v>
          </cell>
        </row>
        <row r="96">
          <cell r="A96" t="str">
            <v>M359</v>
          </cell>
          <cell r="B96" t="str">
            <v>Vigas "I" 254 x 117,5mm - 1ª alma</v>
          </cell>
          <cell r="C96" t="str">
            <v>kg</v>
          </cell>
          <cell r="D96">
            <v>1.45</v>
          </cell>
          <cell r="E96" t="str">
            <v>kg</v>
          </cell>
          <cell r="F96">
            <v>1.45</v>
          </cell>
        </row>
        <row r="97">
          <cell r="A97" t="str">
            <v>M370</v>
          </cell>
          <cell r="B97" t="str">
            <v>Bainha metálica diam. int.=45mm MAC</v>
          </cell>
          <cell r="C97" t="str">
            <v>m</v>
          </cell>
          <cell r="D97">
            <v>6.44</v>
          </cell>
          <cell r="E97" t="str">
            <v>m</v>
          </cell>
          <cell r="F97">
            <v>6.44</v>
          </cell>
        </row>
        <row r="98">
          <cell r="A98" t="str">
            <v>M371</v>
          </cell>
          <cell r="B98" t="str">
            <v>Bainha metálica diam. int.=60mm MAC</v>
          </cell>
          <cell r="C98" t="str">
            <v>m</v>
          </cell>
          <cell r="D98">
            <v>9.82</v>
          </cell>
          <cell r="E98" t="str">
            <v>m</v>
          </cell>
          <cell r="F98">
            <v>9.82</v>
          </cell>
        </row>
        <row r="99">
          <cell r="A99" t="str">
            <v>M372</v>
          </cell>
          <cell r="B99" t="str">
            <v>Bainha metálica diam. int.=55mm MAC</v>
          </cell>
          <cell r="C99" t="str">
            <v>m</v>
          </cell>
          <cell r="D99">
            <v>8.42</v>
          </cell>
          <cell r="E99" t="str">
            <v>m</v>
          </cell>
          <cell r="F99">
            <v>8.42</v>
          </cell>
        </row>
        <row r="100">
          <cell r="A100" t="str">
            <v>M373</v>
          </cell>
          <cell r="B100" t="str">
            <v>Bainha metálica diam. int.=70mm MAC</v>
          </cell>
          <cell r="C100" t="str">
            <v>m</v>
          </cell>
          <cell r="D100">
            <v>11.04</v>
          </cell>
          <cell r="E100" t="str">
            <v>m</v>
          </cell>
          <cell r="F100">
            <v>11.04</v>
          </cell>
        </row>
        <row r="101">
          <cell r="A101" t="str">
            <v>M374</v>
          </cell>
          <cell r="B101" t="str">
            <v>Ancoragem p/ cabo 4V D=1/2" MAC 4a</v>
          </cell>
          <cell r="C101" t="str">
            <v>cj</v>
          </cell>
          <cell r="D101">
            <v>142.43</v>
          </cell>
          <cell r="E101" t="str">
            <v>cj</v>
          </cell>
          <cell r="F101">
            <v>142.43</v>
          </cell>
        </row>
        <row r="102">
          <cell r="A102" t="str">
            <v>M375</v>
          </cell>
          <cell r="B102" t="str">
            <v>Ancoragem p/ cabo 6V D=1/2" MAC 6ac</v>
          </cell>
          <cell r="C102" t="str">
            <v>cj</v>
          </cell>
          <cell r="D102">
            <v>223.36</v>
          </cell>
          <cell r="E102" t="str">
            <v>cj</v>
          </cell>
          <cell r="F102">
            <v>223.36</v>
          </cell>
        </row>
        <row r="103">
          <cell r="A103" t="str">
            <v>M376</v>
          </cell>
          <cell r="B103" t="str">
            <v>Ancoragem p/ cabo 7V D=1/2" MAC 7a</v>
          </cell>
          <cell r="C103" t="str">
            <v>cj</v>
          </cell>
          <cell r="D103">
            <v>431.11</v>
          </cell>
          <cell r="E103" t="str">
            <v>cj</v>
          </cell>
          <cell r="F103">
            <v>431.11</v>
          </cell>
        </row>
        <row r="104">
          <cell r="A104" t="str">
            <v>M377</v>
          </cell>
          <cell r="B104" t="str">
            <v>Ancoragem p/ cabo 12V D=1/2" MAC 12</v>
          </cell>
          <cell r="C104" t="str">
            <v>cj</v>
          </cell>
          <cell r="D104">
            <v>452.67</v>
          </cell>
          <cell r="E104" t="str">
            <v>cj</v>
          </cell>
          <cell r="F104">
            <v>452.67</v>
          </cell>
        </row>
        <row r="105">
          <cell r="A105" t="str">
            <v>M378</v>
          </cell>
          <cell r="B105" t="str">
            <v>Apoio do porta dente frezad. 2000DC</v>
          </cell>
          <cell r="C105" t="str">
            <v>un</v>
          </cell>
          <cell r="D105">
            <v>145.94999999999999</v>
          </cell>
          <cell r="E105" t="str">
            <v>un</v>
          </cell>
          <cell r="F105">
            <v>145.94999999999999</v>
          </cell>
        </row>
        <row r="106">
          <cell r="A106" t="str">
            <v>M380</v>
          </cell>
          <cell r="B106" t="str">
            <v>Bainha metálica D=45mm STUP</v>
          </cell>
          <cell r="C106" t="str">
            <v>m</v>
          </cell>
          <cell r="D106">
            <v>7.4</v>
          </cell>
          <cell r="E106" t="str">
            <v>m</v>
          </cell>
          <cell r="F106">
            <v>7.4</v>
          </cell>
        </row>
        <row r="107">
          <cell r="A107" t="str">
            <v>M381</v>
          </cell>
          <cell r="B107" t="str">
            <v>Bainha metálica D=60mm STUP</v>
          </cell>
          <cell r="C107" t="str">
            <v>m</v>
          </cell>
          <cell r="D107">
            <v>8.9</v>
          </cell>
          <cell r="E107" t="str">
            <v>m</v>
          </cell>
          <cell r="F107">
            <v>8.9</v>
          </cell>
        </row>
        <row r="108">
          <cell r="A108" t="str">
            <v>M382</v>
          </cell>
          <cell r="B108" t="str">
            <v>Bainha metálica D=55mm STUP</v>
          </cell>
          <cell r="C108" t="str">
            <v>m</v>
          </cell>
          <cell r="D108">
            <v>8.6</v>
          </cell>
          <cell r="E108" t="str">
            <v>m</v>
          </cell>
          <cell r="F108">
            <v>8.6</v>
          </cell>
        </row>
        <row r="109">
          <cell r="A109" t="str">
            <v>M383</v>
          </cell>
          <cell r="B109" t="str">
            <v>Bainha metálica D=70mm STUP</v>
          </cell>
          <cell r="C109" t="str">
            <v>m</v>
          </cell>
          <cell r="D109">
            <v>9.8000000000000007</v>
          </cell>
          <cell r="E109" t="str">
            <v>m</v>
          </cell>
          <cell r="F109">
            <v>9.8000000000000007</v>
          </cell>
        </row>
        <row r="110">
          <cell r="A110" t="str">
            <v>M384</v>
          </cell>
          <cell r="B110" t="str">
            <v>Ancoragem p/ cabo 4V D=1/2" STUP</v>
          </cell>
          <cell r="C110" t="str">
            <v>cj</v>
          </cell>
          <cell r="D110">
            <v>117</v>
          </cell>
          <cell r="E110" t="str">
            <v>cj</v>
          </cell>
          <cell r="F110">
            <v>117</v>
          </cell>
        </row>
        <row r="111">
          <cell r="A111" t="str">
            <v>M385</v>
          </cell>
          <cell r="B111" t="str">
            <v>Ancoragem p/ cabo 6V D=1/2" STUP</v>
          </cell>
          <cell r="C111" t="str">
            <v>cj</v>
          </cell>
          <cell r="D111">
            <v>175</v>
          </cell>
          <cell r="E111" t="str">
            <v>cj</v>
          </cell>
          <cell r="F111">
            <v>175</v>
          </cell>
        </row>
        <row r="112">
          <cell r="A112" t="str">
            <v>M386</v>
          </cell>
          <cell r="B112" t="str">
            <v>Ancoragem p/ cabo 7V D=1/2" STUP</v>
          </cell>
          <cell r="C112" t="str">
            <v>cj</v>
          </cell>
          <cell r="D112">
            <v>209</v>
          </cell>
          <cell r="E112" t="str">
            <v>cj</v>
          </cell>
          <cell r="F112">
            <v>209</v>
          </cell>
        </row>
        <row r="113">
          <cell r="A113" t="str">
            <v>M387</v>
          </cell>
          <cell r="B113" t="str">
            <v>Ancoragem p/ cabo 12V D=1/2" STUP</v>
          </cell>
          <cell r="C113" t="str">
            <v>cj</v>
          </cell>
          <cell r="D113">
            <v>415</v>
          </cell>
          <cell r="E113" t="str">
            <v>cj</v>
          </cell>
          <cell r="F113">
            <v>415</v>
          </cell>
        </row>
        <row r="114">
          <cell r="A114" t="str">
            <v>M390</v>
          </cell>
          <cell r="B114" t="str">
            <v>Porca de ancoragem D=32mm</v>
          </cell>
          <cell r="C114" t="str">
            <v>un</v>
          </cell>
          <cell r="D114">
            <v>14.3</v>
          </cell>
          <cell r="E114" t="str">
            <v>un</v>
          </cell>
          <cell r="F114">
            <v>14.3</v>
          </cell>
        </row>
        <row r="115">
          <cell r="A115" t="str">
            <v>M391</v>
          </cell>
          <cell r="B115" t="str">
            <v>Contra porca h=35mm D=32mm</v>
          </cell>
          <cell r="C115" t="str">
            <v>un</v>
          </cell>
          <cell r="D115">
            <v>10.45</v>
          </cell>
          <cell r="E115" t="str">
            <v>un</v>
          </cell>
          <cell r="F115">
            <v>10.45</v>
          </cell>
        </row>
        <row r="116">
          <cell r="A116" t="str">
            <v>M392</v>
          </cell>
          <cell r="B116" t="str">
            <v>Aço ST 85/105 D=32mm</v>
          </cell>
          <cell r="C116" t="str">
            <v>m</v>
          </cell>
          <cell r="D116">
            <v>21.52</v>
          </cell>
          <cell r="E116" t="str">
            <v>m</v>
          </cell>
          <cell r="F116">
            <v>21.52</v>
          </cell>
        </row>
        <row r="117">
          <cell r="A117" t="str">
            <v>M393</v>
          </cell>
          <cell r="B117" t="str">
            <v>Placa de ancoragem - 200x200x38mm</v>
          </cell>
          <cell r="C117" t="str">
            <v>un</v>
          </cell>
          <cell r="D117">
            <v>48.3</v>
          </cell>
          <cell r="E117" t="str">
            <v>un</v>
          </cell>
          <cell r="F117">
            <v>48.3</v>
          </cell>
        </row>
        <row r="118">
          <cell r="A118" t="str">
            <v>M394</v>
          </cell>
          <cell r="B118" t="str">
            <v>Bainha metálica D=38mm</v>
          </cell>
          <cell r="C118" t="str">
            <v>m</v>
          </cell>
          <cell r="D118">
            <v>6</v>
          </cell>
          <cell r="E118" t="str">
            <v>m</v>
          </cell>
          <cell r="F118">
            <v>6</v>
          </cell>
        </row>
        <row r="119">
          <cell r="A119" t="str">
            <v>M395</v>
          </cell>
          <cell r="B119" t="str">
            <v>Bits p/ estabil. e recicl. RR/SS250</v>
          </cell>
          <cell r="C119" t="str">
            <v>un</v>
          </cell>
          <cell r="D119">
            <v>25</v>
          </cell>
          <cell r="E119" t="str">
            <v>un</v>
          </cell>
          <cell r="F119">
            <v>25</v>
          </cell>
        </row>
        <row r="120">
          <cell r="A120" t="str">
            <v>M396</v>
          </cell>
          <cell r="B120" t="str">
            <v>Porta dente p/ est. e rec. RR/SS250</v>
          </cell>
          <cell r="C120" t="str">
            <v>un</v>
          </cell>
          <cell r="D120">
            <v>161.83000000000001</v>
          </cell>
          <cell r="E120" t="str">
            <v>un</v>
          </cell>
          <cell r="F120">
            <v>161.83000000000001</v>
          </cell>
        </row>
        <row r="121">
          <cell r="A121" t="str">
            <v>M397</v>
          </cell>
          <cell r="B121" t="str">
            <v>Dente de corte para equip. recicl.</v>
          </cell>
          <cell r="C121" t="str">
            <v>un</v>
          </cell>
          <cell r="D121">
            <v>40.950000000000003</v>
          </cell>
          <cell r="E121" t="str">
            <v>un</v>
          </cell>
          <cell r="F121">
            <v>40.950000000000003</v>
          </cell>
        </row>
        <row r="122">
          <cell r="A122" t="str">
            <v>M398</v>
          </cell>
          <cell r="B122" t="str">
            <v>Chapa de 8,00 mm</v>
          </cell>
          <cell r="C122" t="str">
            <v>kg</v>
          </cell>
          <cell r="D122">
            <v>0.91</v>
          </cell>
          <cell r="E122" t="str">
            <v>kg</v>
          </cell>
          <cell r="F122">
            <v>0.91</v>
          </cell>
        </row>
        <row r="123">
          <cell r="A123" t="str">
            <v>M401</v>
          </cell>
          <cell r="B123" t="str">
            <v>Pontaletes D=15 cm (tronco p/ esc.)</v>
          </cell>
          <cell r="C123" t="str">
            <v>m</v>
          </cell>
          <cell r="D123">
            <v>1.5</v>
          </cell>
          <cell r="E123" t="str">
            <v>m</v>
          </cell>
          <cell r="F123">
            <v>1.5</v>
          </cell>
        </row>
        <row r="124">
          <cell r="A124" t="str">
            <v>M402</v>
          </cell>
          <cell r="B124" t="str">
            <v>Pontaletes D=20 cm (tronco p/ esc.)</v>
          </cell>
          <cell r="C124" t="str">
            <v>m</v>
          </cell>
          <cell r="D124">
            <v>2</v>
          </cell>
          <cell r="E124" t="str">
            <v>m</v>
          </cell>
          <cell r="F124">
            <v>2</v>
          </cell>
        </row>
        <row r="125">
          <cell r="A125" t="str">
            <v>M403</v>
          </cell>
          <cell r="B125" t="str">
            <v>Mourão madeira H=2,15 m D=9 cm</v>
          </cell>
          <cell r="C125" t="str">
            <v>un</v>
          </cell>
          <cell r="D125">
            <v>4.5</v>
          </cell>
          <cell r="E125" t="str">
            <v>un</v>
          </cell>
          <cell r="F125">
            <v>4.5</v>
          </cell>
        </row>
        <row r="126">
          <cell r="A126" t="str">
            <v>M404</v>
          </cell>
          <cell r="B126" t="str">
            <v>Mourão madeira H=2,50 m D=12 cm</v>
          </cell>
          <cell r="C126" t="str">
            <v>un</v>
          </cell>
          <cell r="D126">
            <v>4.5</v>
          </cell>
          <cell r="E126" t="str">
            <v>un</v>
          </cell>
          <cell r="F126">
            <v>4.5</v>
          </cell>
        </row>
        <row r="127">
          <cell r="A127" t="str">
            <v>M405</v>
          </cell>
          <cell r="B127" t="str">
            <v>Ripas de 2,5 cm x 5,0 cm</v>
          </cell>
          <cell r="C127" t="str">
            <v>m</v>
          </cell>
          <cell r="D127">
            <v>0.39</v>
          </cell>
          <cell r="E127" t="str">
            <v>m</v>
          </cell>
          <cell r="F127">
            <v>0.39</v>
          </cell>
        </row>
        <row r="128">
          <cell r="A128" t="str">
            <v>M406</v>
          </cell>
          <cell r="B128" t="str">
            <v>Caibros de 7,5 cm x 7,5 cm</v>
          </cell>
          <cell r="C128" t="str">
            <v>m</v>
          </cell>
          <cell r="D128">
            <v>3</v>
          </cell>
          <cell r="E128" t="str">
            <v>m</v>
          </cell>
          <cell r="F128">
            <v>3</v>
          </cell>
        </row>
        <row r="129">
          <cell r="A129" t="str">
            <v>M407</v>
          </cell>
          <cell r="B129" t="str">
            <v>Tábua pinho de 1ª 2,5 cm x 15,0 cm</v>
          </cell>
          <cell r="C129" t="str">
            <v>m</v>
          </cell>
          <cell r="D129">
            <v>1.2</v>
          </cell>
          <cell r="E129" t="str">
            <v>m</v>
          </cell>
          <cell r="F129">
            <v>1.2</v>
          </cell>
        </row>
        <row r="130">
          <cell r="A130" t="str">
            <v>M408</v>
          </cell>
          <cell r="B130" t="str">
            <v>Tábua de 5ª 2,5 cm x 30,0 cm</v>
          </cell>
          <cell r="C130" t="str">
            <v>m</v>
          </cell>
          <cell r="D130">
            <v>2.2999999999999998</v>
          </cell>
          <cell r="E130" t="str">
            <v>m</v>
          </cell>
          <cell r="F130">
            <v>2.2999999999999998</v>
          </cell>
        </row>
        <row r="131">
          <cell r="A131" t="str">
            <v>M409</v>
          </cell>
          <cell r="B131" t="str">
            <v>Pranchão de 1ª de 5,0 cm x 30,0 cm</v>
          </cell>
          <cell r="C131" t="str">
            <v>m</v>
          </cell>
          <cell r="D131">
            <v>10</v>
          </cell>
          <cell r="E131" t="str">
            <v>m</v>
          </cell>
          <cell r="F131">
            <v>10</v>
          </cell>
        </row>
        <row r="132">
          <cell r="A132" t="str">
            <v>M410</v>
          </cell>
          <cell r="B132" t="str">
            <v>Compensado resinado de 17 mm</v>
          </cell>
          <cell r="C132" t="str">
            <v>m2</v>
          </cell>
          <cell r="D132">
            <v>10</v>
          </cell>
          <cell r="E132" t="str">
            <v>un</v>
          </cell>
          <cell r="F132">
            <v>24.2</v>
          </cell>
        </row>
        <row r="133">
          <cell r="A133" t="str">
            <v>M411</v>
          </cell>
          <cell r="B133" t="str">
            <v>Compensado plastificado de 17 mm</v>
          </cell>
          <cell r="C133" t="str">
            <v>m2</v>
          </cell>
          <cell r="D133">
            <v>18</v>
          </cell>
          <cell r="E133" t="str">
            <v>un</v>
          </cell>
          <cell r="F133">
            <v>53.46</v>
          </cell>
        </row>
        <row r="134">
          <cell r="A134" t="str">
            <v>M412</v>
          </cell>
          <cell r="B134" t="str">
            <v>Gastalho 10 x 2,0 cm</v>
          </cell>
          <cell r="C134" t="str">
            <v>m</v>
          </cell>
          <cell r="D134">
            <v>1</v>
          </cell>
          <cell r="E134" t="str">
            <v>m</v>
          </cell>
          <cell r="F134">
            <v>1</v>
          </cell>
        </row>
        <row r="135">
          <cell r="A135" t="str">
            <v>M413</v>
          </cell>
          <cell r="B135" t="str">
            <v>Gastalho 10 x 2,5 cm</v>
          </cell>
          <cell r="C135" t="str">
            <v>m</v>
          </cell>
          <cell r="D135">
            <v>0.85</v>
          </cell>
          <cell r="E135" t="str">
            <v>m</v>
          </cell>
          <cell r="F135">
            <v>0.85</v>
          </cell>
        </row>
        <row r="136">
          <cell r="A136" t="str">
            <v>M414</v>
          </cell>
          <cell r="B136" t="str">
            <v>Pranchão 7,5 x 30,0 cm</v>
          </cell>
          <cell r="C136" t="str">
            <v>m</v>
          </cell>
          <cell r="D136">
            <v>13.7</v>
          </cell>
          <cell r="E136" t="str">
            <v>un</v>
          </cell>
          <cell r="F136">
            <v>13.7</v>
          </cell>
        </row>
        <row r="137">
          <cell r="A137" t="str">
            <v>M415</v>
          </cell>
          <cell r="B137" t="str">
            <v>Tábua 2,5 x 22,5 cm</v>
          </cell>
          <cell r="C137" t="str">
            <v>m</v>
          </cell>
          <cell r="D137">
            <v>1.8</v>
          </cell>
          <cell r="E137" t="str">
            <v>un</v>
          </cell>
          <cell r="F137">
            <v>1.8</v>
          </cell>
        </row>
        <row r="138">
          <cell r="A138" t="str">
            <v>M501</v>
          </cell>
          <cell r="B138" t="str">
            <v>Dinamite a 60% (gelatina especial)</v>
          </cell>
          <cell r="C138" t="str">
            <v>kg</v>
          </cell>
          <cell r="D138">
            <v>1.76</v>
          </cell>
          <cell r="E138" t="str">
            <v>kg</v>
          </cell>
          <cell r="F138">
            <v>1.76</v>
          </cell>
        </row>
        <row r="139">
          <cell r="A139" t="str">
            <v>M503</v>
          </cell>
          <cell r="B139" t="str">
            <v>Espoleta comum n. 8</v>
          </cell>
          <cell r="C139" t="str">
            <v>un</v>
          </cell>
          <cell r="D139">
            <v>0.15</v>
          </cell>
          <cell r="E139" t="str">
            <v>un</v>
          </cell>
          <cell r="F139">
            <v>0.15</v>
          </cell>
        </row>
        <row r="140">
          <cell r="A140" t="str">
            <v>M505</v>
          </cell>
          <cell r="B140" t="str">
            <v>Cordel detonante NP 10</v>
          </cell>
          <cell r="C140" t="str">
            <v>m</v>
          </cell>
          <cell r="D140">
            <v>0.28999999999999998</v>
          </cell>
          <cell r="E140" t="str">
            <v>m</v>
          </cell>
          <cell r="F140">
            <v>0.28999999999999998</v>
          </cell>
        </row>
        <row r="141">
          <cell r="A141" t="str">
            <v>M507</v>
          </cell>
          <cell r="B141" t="str">
            <v>Retardador de cordel</v>
          </cell>
          <cell r="C141" t="str">
            <v>un</v>
          </cell>
          <cell r="D141">
            <v>4</v>
          </cell>
          <cell r="E141" t="str">
            <v>un</v>
          </cell>
          <cell r="F141">
            <v>4</v>
          </cell>
        </row>
        <row r="142">
          <cell r="A142" t="str">
            <v>M508</v>
          </cell>
          <cell r="B142" t="str">
            <v>Estopim</v>
          </cell>
          <cell r="C142" t="str">
            <v>m</v>
          </cell>
          <cell r="D142">
            <v>0.28999999999999998</v>
          </cell>
          <cell r="E142" t="str">
            <v>m</v>
          </cell>
          <cell r="F142">
            <v>0.28999999999999998</v>
          </cell>
        </row>
        <row r="143">
          <cell r="A143" t="str">
            <v>M600</v>
          </cell>
          <cell r="B143" t="str">
            <v>Tinta refletiva alquídica p/ 1 ano</v>
          </cell>
          <cell r="C143" t="str">
            <v>l</v>
          </cell>
          <cell r="D143">
            <v>5.5660999999999996</v>
          </cell>
          <cell r="E143" t="str">
            <v>ba</v>
          </cell>
          <cell r="F143">
            <v>100.19</v>
          </cell>
        </row>
        <row r="144">
          <cell r="A144" t="str">
            <v>M601</v>
          </cell>
          <cell r="B144" t="str">
            <v>Tinta refletiva acrílica p/ 2 anos</v>
          </cell>
          <cell r="C144" t="str">
            <v>l</v>
          </cell>
          <cell r="D144">
            <v>6.72</v>
          </cell>
          <cell r="E144" t="str">
            <v>ba</v>
          </cell>
          <cell r="F144">
            <v>120.96</v>
          </cell>
        </row>
        <row r="145">
          <cell r="A145" t="str">
            <v>M602</v>
          </cell>
          <cell r="B145" t="str">
            <v>Adubo NPK (4.14.8)</v>
          </cell>
          <cell r="C145" t="str">
            <v>kg</v>
          </cell>
          <cell r="D145">
            <v>0.5</v>
          </cell>
          <cell r="E145" t="str">
            <v>kg</v>
          </cell>
          <cell r="F145">
            <v>0.5</v>
          </cell>
        </row>
        <row r="146">
          <cell r="A146" t="str">
            <v>M603</v>
          </cell>
          <cell r="B146" t="str">
            <v>Inseticida</v>
          </cell>
          <cell r="C146" t="str">
            <v>l</v>
          </cell>
          <cell r="D146">
            <v>18</v>
          </cell>
          <cell r="E146" t="str">
            <v>l</v>
          </cell>
          <cell r="F146">
            <v>18</v>
          </cell>
        </row>
        <row r="147">
          <cell r="A147" t="str">
            <v>M604</v>
          </cell>
          <cell r="B147" t="str">
            <v>Aditivo plastiment BV-40</v>
          </cell>
          <cell r="C147" t="str">
            <v>kg</v>
          </cell>
          <cell r="D147">
            <v>1.6</v>
          </cell>
          <cell r="E147" t="str">
            <v>tam</v>
          </cell>
          <cell r="F147">
            <v>320</v>
          </cell>
        </row>
        <row r="148">
          <cell r="A148" t="str">
            <v>M605</v>
          </cell>
          <cell r="B148" t="str">
            <v>Cola para tubo PVC</v>
          </cell>
          <cell r="C148" t="str">
            <v>gr</v>
          </cell>
          <cell r="D148">
            <v>1.55E-2</v>
          </cell>
          <cell r="E148" t="str">
            <v>tb</v>
          </cell>
          <cell r="F148">
            <v>1.1599999999999999</v>
          </cell>
        </row>
        <row r="149">
          <cell r="A149" t="str">
            <v>M606</v>
          </cell>
          <cell r="B149" t="str">
            <v>Tinta anti-corrosiva</v>
          </cell>
          <cell r="C149" t="str">
            <v>l</v>
          </cell>
          <cell r="D149">
            <v>6.95</v>
          </cell>
          <cell r="E149" t="str">
            <v>ba</v>
          </cell>
          <cell r="F149">
            <v>125.1</v>
          </cell>
        </row>
        <row r="150">
          <cell r="A150" t="str">
            <v>M607</v>
          </cell>
          <cell r="B150" t="str">
            <v>Óleo de linhaça</v>
          </cell>
          <cell r="C150" t="str">
            <v>l</v>
          </cell>
          <cell r="D150">
            <v>5.4</v>
          </cell>
          <cell r="E150" t="str">
            <v>tam</v>
          </cell>
          <cell r="F150">
            <v>1080</v>
          </cell>
        </row>
        <row r="151">
          <cell r="A151" t="str">
            <v>M608</v>
          </cell>
          <cell r="B151" t="str">
            <v>Detergente</v>
          </cell>
          <cell r="C151" t="str">
            <v>l</v>
          </cell>
          <cell r="D151">
            <v>0.94</v>
          </cell>
          <cell r="E151" t="str">
            <v>ba</v>
          </cell>
          <cell r="F151">
            <v>16.920000000000002</v>
          </cell>
        </row>
        <row r="152">
          <cell r="A152" t="str">
            <v>M609</v>
          </cell>
          <cell r="B152" t="str">
            <v>Tinta esmalte sintético fosco</v>
          </cell>
          <cell r="C152" t="str">
            <v>l</v>
          </cell>
          <cell r="D152">
            <v>7.78</v>
          </cell>
          <cell r="E152" t="str">
            <v>ba</v>
          </cell>
          <cell r="F152">
            <v>140.04</v>
          </cell>
        </row>
        <row r="153">
          <cell r="A153" t="str">
            <v>M610</v>
          </cell>
          <cell r="B153" t="str">
            <v>Pintura epóxica - barra D= 32mm</v>
          </cell>
          <cell r="C153" t="str">
            <v>m</v>
          </cell>
          <cell r="D153">
            <v>3.67</v>
          </cell>
          <cell r="E153" t="str">
            <v>m</v>
          </cell>
          <cell r="F153">
            <v>3.67</v>
          </cell>
        </row>
        <row r="154">
          <cell r="A154" t="str">
            <v>M611</v>
          </cell>
          <cell r="B154" t="str">
            <v>Redutor tipo 2002 prim. qualidade</v>
          </cell>
          <cell r="C154" t="str">
            <v>l</v>
          </cell>
          <cell r="D154">
            <v>3.2669999999999999</v>
          </cell>
          <cell r="E154" t="str">
            <v>l</v>
          </cell>
          <cell r="F154">
            <v>3.27</v>
          </cell>
        </row>
        <row r="155">
          <cell r="A155" t="str">
            <v>M612</v>
          </cell>
          <cell r="B155" t="str">
            <v>Lixa para ferro n. 100</v>
          </cell>
          <cell r="C155" t="str">
            <v>un</v>
          </cell>
          <cell r="D155">
            <v>0.75</v>
          </cell>
          <cell r="E155" t="str">
            <v>un</v>
          </cell>
          <cell r="F155">
            <v>0.75</v>
          </cell>
        </row>
        <row r="156">
          <cell r="A156" t="str">
            <v>M613</v>
          </cell>
          <cell r="B156" t="str">
            <v>Base de resina alquídica (primer)</v>
          </cell>
          <cell r="C156" t="str">
            <v>l</v>
          </cell>
          <cell r="D156">
            <v>4.88</v>
          </cell>
          <cell r="E156" t="str">
            <v>l</v>
          </cell>
          <cell r="F156">
            <v>4.88</v>
          </cell>
        </row>
        <row r="157">
          <cell r="A157" t="str">
            <v>M615</v>
          </cell>
          <cell r="B157" t="str">
            <v>Microesferas PRE-MIX</v>
          </cell>
          <cell r="C157" t="str">
            <v>kg</v>
          </cell>
          <cell r="D157">
            <v>2.3759999999999999</v>
          </cell>
          <cell r="E157" t="str">
            <v>kg</v>
          </cell>
          <cell r="F157">
            <v>2.38</v>
          </cell>
        </row>
        <row r="158">
          <cell r="A158" t="str">
            <v>M616</v>
          </cell>
          <cell r="B158" t="str">
            <v>Microesferas DROP-ON</v>
          </cell>
          <cell r="C158" t="str">
            <v>kg</v>
          </cell>
          <cell r="D158">
            <v>2.379</v>
          </cell>
          <cell r="E158" t="str">
            <v>kg</v>
          </cell>
          <cell r="F158">
            <v>2.38</v>
          </cell>
        </row>
        <row r="159">
          <cell r="A159" t="str">
            <v>M617</v>
          </cell>
          <cell r="B159" t="str">
            <v>Massa termoplástica para extrusão</v>
          </cell>
          <cell r="C159" t="str">
            <v>kg</v>
          </cell>
          <cell r="D159">
            <v>2.97</v>
          </cell>
          <cell r="E159" t="str">
            <v>kg</v>
          </cell>
          <cell r="F159">
            <v>2.97</v>
          </cell>
        </row>
        <row r="160">
          <cell r="A160" t="str">
            <v>M618</v>
          </cell>
          <cell r="B160" t="str">
            <v>Massa termoplástica para aspersão</v>
          </cell>
          <cell r="C160" t="str">
            <v>kg</v>
          </cell>
          <cell r="D160">
            <v>3.5089999999999999</v>
          </cell>
          <cell r="E160" t="str">
            <v>kg</v>
          </cell>
          <cell r="F160">
            <v>3.51</v>
          </cell>
        </row>
        <row r="161">
          <cell r="A161" t="str">
            <v>M619</v>
          </cell>
          <cell r="B161" t="str">
            <v>Cola poliester</v>
          </cell>
          <cell r="C161" t="str">
            <v>kg</v>
          </cell>
          <cell r="D161">
            <v>6.9</v>
          </cell>
          <cell r="E161" t="str">
            <v>kg</v>
          </cell>
          <cell r="F161">
            <v>6.9</v>
          </cell>
        </row>
        <row r="162">
          <cell r="A162" t="str">
            <v>M620</v>
          </cell>
          <cell r="B162" t="str">
            <v>Protetor de cura do concreto</v>
          </cell>
          <cell r="C162" t="str">
            <v>kg</v>
          </cell>
          <cell r="D162">
            <v>3.6246999999999998</v>
          </cell>
          <cell r="E162" t="str">
            <v>tam</v>
          </cell>
          <cell r="F162">
            <v>652.45000000000005</v>
          </cell>
        </row>
        <row r="163">
          <cell r="A163" t="str">
            <v>M621</v>
          </cell>
          <cell r="B163" t="str">
            <v>Desmoldante</v>
          </cell>
          <cell r="C163" t="str">
            <v>kg</v>
          </cell>
          <cell r="D163">
            <v>3.1371000000000002</v>
          </cell>
          <cell r="E163" t="str">
            <v>tam</v>
          </cell>
          <cell r="F163">
            <v>693.3</v>
          </cell>
        </row>
        <row r="164">
          <cell r="A164" t="str">
            <v>M622</v>
          </cell>
          <cell r="B164" t="str">
            <v>Interplast N</v>
          </cell>
          <cell r="C164" t="str">
            <v>kg</v>
          </cell>
          <cell r="D164">
            <v>4.7584999999999997</v>
          </cell>
          <cell r="E164" t="str">
            <v>sc</v>
          </cell>
          <cell r="F164">
            <v>95.17</v>
          </cell>
        </row>
        <row r="165">
          <cell r="A165" t="str">
            <v>M623</v>
          </cell>
          <cell r="B165" t="str">
            <v>Gás propano</v>
          </cell>
          <cell r="C165" t="str">
            <v>kg</v>
          </cell>
          <cell r="D165">
            <v>2.2400000000000002</v>
          </cell>
          <cell r="E165" t="str">
            <v>kg</v>
          </cell>
          <cell r="F165">
            <v>2.2400000000000002</v>
          </cell>
        </row>
        <row r="166">
          <cell r="A166" t="str">
            <v>M624</v>
          </cell>
          <cell r="B166" t="str">
            <v>Tinta para pré-marcação</v>
          </cell>
          <cell r="C166" t="str">
            <v>l</v>
          </cell>
          <cell r="D166">
            <v>6.2</v>
          </cell>
          <cell r="E166" t="str">
            <v>l</v>
          </cell>
          <cell r="F166">
            <v>6.2</v>
          </cell>
        </row>
        <row r="167">
          <cell r="A167" t="str">
            <v>M625</v>
          </cell>
          <cell r="B167" t="str">
            <v>Acetileno</v>
          </cell>
          <cell r="C167" t="str">
            <v>m3</v>
          </cell>
          <cell r="D167">
            <v>18.190000000000001</v>
          </cell>
          <cell r="E167" t="str">
            <v>m3</v>
          </cell>
          <cell r="F167">
            <v>18.190000000000001</v>
          </cell>
        </row>
        <row r="168">
          <cell r="A168" t="str">
            <v>M626</v>
          </cell>
          <cell r="B168" t="str">
            <v>Oxigênio</v>
          </cell>
          <cell r="C168" t="str">
            <v>m3</v>
          </cell>
          <cell r="D168">
            <v>7.2880000000000003</v>
          </cell>
          <cell r="E168" t="str">
            <v>m3</v>
          </cell>
          <cell r="F168">
            <v>7.29</v>
          </cell>
        </row>
        <row r="169">
          <cell r="A169" t="str">
            <v>M700</v>
          </cell>
          <cell r="B169" t="str">
            <v>Tijolo comum maciço (5,5x9x19) cm</v>
          </cell>
          <cell r="C169" t="str">
            <v>un</v>
          </cell>
          <cell r="D169">
            <v>0.14000000000000001</v>
          </cell>
          <cell r="E169" t="str">
            <v>mlh</v>
          </cell>
          <cell r="F169">
            <v>140</v>
          </cell>
        </row>
        <row r="170">
          <cell r="A170" t="str">
            <v>M702</v>
          </cell>
          <cell r="B170" t="str">
            <v>Cal hidratada</v>
          </cell>
          <cell r="C170" t="str">
            <v>kg</v>
          </cell>
          <cell r="D170">
            <v>0.12</v>
          </cell>
          <cell r="E170" t="str">
            <v>sc</v>
          </cell>
          <cell r="F170">
            <v>2.4</v>
          </cell>
        </row>
        <row r="171">
          <cell r="A171" t="str">
            <v>M703</v>
          </cell>
          <cell r="B171" t="str">
            <v>Tijolo 20 x 30 cm</v>
          </cell>
          <cell r="C171" t="str">
            <v>un</v>
          </cell>
          <cell r="D171">
            <v>0.1</v>
          </cell>
          <cell r="E171" t="str">
            <v>mlh</v>
          </cell>
          <cell r="F171">
            <v>100</v>
          </cell>
        </row>
        <row r="172">
          <cell r="A172" t="str">
            <v>M704</v>
          </cell>
          <cell r="B172" t="str">
            <v>Areia lavada</v>
          </cell>
          <cell r="C172" t="str">
            <v>m3</v>
          </cell>
          <cell r="D172">
            <v>6</v>
          </cell>
          <cell r="E172" t="str">
            <v>m3</v>
          </cell>
          <cell r="F172">
            <v>6</v>
          </cell>
        </row>
        <row r="173">
          <cell r="A173" t="str">
            <v>M705</v>
          </cell>
          <cell r="B173" t="str">
            <v>Pó de pedra</v>
          </cell>
          <cell r="C173" t="str">
            <v>m3</v>
          </cell>
          <cell r="D173">
            <v>8</v>
          </cell>
          <cell r="E173" t="str">
            <v>m3</v>
          </cell>
          <cell r="F173">
            <v>8</v>
          </cell>
        </row>
        <row r="174">
          <cell r="A174" t="str">
            <v>M709</v>
          </cell>
          <cell r="B174" t="str">
            <v>Brita corrida</v>
          </cell>
          <cell r="C174" t="str">
            <v>m3</v>
          </cell>
          <cell r="D174">
            <v>18</v>
          </cell>
          <cell r="E174" t="str">
            <v>m3</v>
          </cell>
          <cell r="F174">
            <v>18</v>
          </cell>
        </row>
        <row r="175">
          <cell r="A175" t="str">
            <v>M710</v>
          </cell>
          <cell r="B175" t="str">
            <v>Pedra de mão</v>
          </cell>
          <cell r="C175" t="str">
            <v>m3</v>
          </cell>
          <cell r="D175">
            <v>15</v>
          </cell>
          <cell r="E175" t="str">
            <v>m3</v>
          </cell>
          <cell r="F175">
            <v>15</v>
          </cell>
        </row>
        <row r="176">
          <cell r="A176" t="str">
            <v>M715</v>
          </cell>
          <cell r="B176" t="str">
            <v>Pó calcário dolomítico</v>
          </cell>
          <cell r="C176" t="str">
            <v>kg</v>
          </cell>
          <cell r="D176">
            <v>0.08</v>
          </cell>
          <cell r="E176" t="str">
            <v>kg</v>
          </cell>
          <cell r="F176">
            <v>0.08</v>
          </cell>
        </row>
        <row r="177">
          <cell r="A177" t="str">
            <v>M901</v>
          </cell>
          <cell r="B177" t="str">
            <v>Aparelho de apoio neoprene fretado</v>
          </cell>
          <cell r="C177" t="str">
            <v>dm3</v>
          </cell>
          <cell r="D177">
            <v>62.95</v>
          </cell>
          <cell r="E177" t="str">
            <v>dm3</v>
          </cell>
          <cell r="F177">
            <v>62.95</v>
          </cell>
        </row>
        <row r="178">
          <cell r="A178" t="str">
            <v>M902</v>
          </cell>
          <cell r="B178" t="str">
            <v>Tubo de PVC D=75 mm</v>
          </cell>
          <cell r="C178" t="str">
            <v>m</v>
          </cell>
          <cell r="D178">
            <v>2.57</v>
          </cell>
          <cell r="E178" t="str">
            <v>vr</v>
          </cell>
          <cell r="F178">
            <v>15.42</v>
          </cell>
        </row>
        <row r="179">
          <cell r="A179" t="str">
            <v>M903</v>
          </cell>
          <cell r="B179" t="str">
            <v>Manta sintética (Bidim) OP-20</v>
          </cell>
          <cell r="C179" t="str">
            <v>m2</v>
          </cell>
          <cell r="D179">
            <v>3.15</v>
          </cell>
          <cell r="E179" t="str">
            <v>m2</v>
          </cell>
          <cell r="F179">
            <v>3.15</v>
          </cell>
        </row>
        <row r="180">
          <cell r="A180" t="str">
            <v>M904</v>
          </cell>
          <cell r="B180" t="str">
            <v>Manta sintética (Bidim) OP-30</v>
          </cell>
          <cell r="C180" t="str">
            <v>m2</v>
          </cell>
          <cell r="D180">
            <v>2.95</v>
          </cell>
          <cell r="E180" t="str">
            <v>m2</v>
          </cell>
          <cell r="F180">
            <v>2.95</v>
          </cell>
        </row>
        <row r="181">
          <cell r="A181" t="str">
            <v>M905</v>
          </cell>
          <cell r="B181" t="str">
            <v>Filler</v>
          </cell>
          <cell r="C181" t="str">
            <v>kg</v>
          </cell>
          <cell r="D181">
            <v>0.06</v>
          </cell>
          <cell r="E181" t="str">
            <v>kg</v>
          </cell>
          <cell r="F181">
            <v>0.06</v>
          </cell>
        </row>
        <row r="182">
          <cell r="A182" t="str">
            <v>M906</v>
          </cell>
          <cell r="B182" t="str">
            <v>Sementes p/ hidrossemeadura</v>
          </cell>
          <cell r="C182" t="str">
            <v>kg</v>
          </cell>
          <cell r="D182">
            <v>12.5</v>
          </cell>
          <cell r="E182" t="str">
            <v>kg</v>
          </cell>
          <cell r="F182">
            <v>12.5</v>
          </cell>
        </row>
        <row r="183">
          <cell r="A183" t="str">
            <v>M907</v>
          </cell>
          <cell r="B183" t="str">
            <v>Adubo orgânico</v>
          </cell>
          <cell r="C183" t="str">
            <v>kg</v>
          </cell>
          <cell r="D183">
            <v>0.23</v>
          </cell>
          <cell r="E183" t="str">
            <v>t</v>
          </cell>
          <cell r="F183">
            <v>230</v>
          </cell>
        </row>
        <row r="184">
          <cell r="A184" t="str">
            <v>M908</v>
          </cell>
          <cell r="B184" t="str">
            <v>Eletrodo p/ solda eletr. OK 46.00</v>
          </cell>
          <cell r="C184" t="str">
            <v>kg</v>
          </cell>
          <cell r="D184">
            <v>4.4000000000000004</v>
          </cell>
          <cell r="E184" t="str">
            <v>kg</v>
          </cell>
          <cell r="F184">
            <v>4.4000000000000004</v>
          </cell>
        </row>
        <row r="185">
          <cell r="A185" t="str">
            <v>M909</v>
          </cell>
          <cell r="B185" t="str">
            <v>Tubo de PVC perfurado D=50 mm</v>
          </cell>
          <cell r="C185" t="str">
            <v>m</v>
          </cell>
          <cell r="D185">
            <v>1.9</v>
          </cell>
          <cell r="E185" t="str">
            <v>vr</v>
          </cell>
          <cell r="F185">
            <v>11.4</v>
          </cell>
        </row>
        <row r="186">
          <cell r="A186" t="str">
            <v>M910</v>
          </cell>
          <cell r="B186" t="str">
            <v>Tubo de PVC rígido D=50 mm</v>
          </cell>
          <cell r="C186" t="str">
            <v>m</v>
          </cell>
          <cell r="D186">
            <v>2.98</v>
          </cell>
          <cell r="E186" t="str">
            <v>vr</v>
          </cell>
          <cell r="F186">
            <v>17.88</v>
          </cell>
        </row>
        <row r="187">
          <cell r="A187" t="str">
            <v>M911</v>
          </cell>
          <cell r="B187" t="str">
            <v>Tubo de PVC D=100 mm</v>
          </cell>
          <cell r="C187" t="str">
            <v>m</v>
          </cell>
          <cell r="D187">
            <v>3.2</v>
          </cell>
          <cell r="E187" t="str">
            <v>vr</v>
          </cell>
          <cell r="F187">
            <v>19.2</v>
          </cell>
        </row>
        <row r="188">
          <cell r="A188" t="str">
            <v>M920</v>
          </cell>
          <cell r="B188" t="str">
            <v>Meio tubo de concreto D=40 cm</v>
          </cell>
          <cell r="C188" t="str">
            <v>m</v>
          </cell>
          <cell r="D188">
            <v>14</v>
          </cell>
          <cell r="E188" t="str">
            <v>m</v>
          </cell>
          <cell r="F188">
            <v>14</v>
          </cell>
        </row>
        <row r="189">
          <cell r="A189" t="str">
            <v>M930</v>
          </cell>
          <cell r="B189" t="str">
            <v>Gabião caixa 2x1x1m galvanizado</v>
          </cell>
          <cell r="C189" t="str">
            <v>un</v>
          </cell>
          <cell r="D189">
            <v>88.5</v>
          </cell>
          <cell r="E189" t="str">
            <v>un</v>
          </cell>
          <cell r="F189">
            <v>88.5</v>
          </cell>
        </row>
        <row r="190">
          <cell r="A190" t="str">
            <v>M935</v>
          </cell>
          <cell r="B190" t="str">
            <v>Terra arm. ECE - greide 0&lt;h&lt;6m</v>
          </cell>
          <cell r="C190" t="str">
            <v>m2</v>
          </cell>
          <cell r="D190">
            <v>86.67</v>
          </cell>
          <cell r="E190" t="str">
            <v>m2</v>
          </cell>
          <cell r="F190">
            <v>86.67</v>
          </cell>
        </row>
        <row r="191">
          <cell r="A191" t="str">
            <v>M936</v>
          </cell>
          <cell r="B191" t="str">
            <v>Terra arm. ECE - greide 6&lt;h&lt;9m</v>
          </cell>
          <cell r="C191" t="str">
            <v>m2</v>
          </cell>
          <cell r="D191">
            <v>111.85</v>
          </cell>
          <cell r="E191" t="str">
            <v>m2</v>
          </cell>
          <cell r="F191">
            <v>111.85</v>
          </cell>
        </row>
        <row r="192">
          <cell r="A192" t="str">
            <v>M937</v>
          </cell>
          <cell r="B192" t="str">
            <v>Terra arm. ECE - greide 9&lt;h&lt;12m</v>
          </cell>
          <cell r="C192" t="str">
            <v>m2</v>
          </cell>
          <cell r="D192">
            <v>162.96</v>
          </cell>
          <cell r="E192" t="str">
            <v>m2</v>
          </cell>
          <cell r="F192">
            <v>162.96</v>
          </cell>
        </row>
        <row r="193">
          <cell r="A193" t="str">
            <v>M938</v>
          </cell>
          <cell r="B193" t="str">
            <v>Terra arm. ECE- pé talude 0&lt;h&lt;6m</v>
          </cell>
          <cell r="C193" t="str">
            <v>m2</v>
          </cell>
          <cell r="D193">
            <v>99.26</v>
          </cell>
          <cell r="E193" t="str">
            <v>m2</v>
          </cell>
          <cell r="F193">
            <v>99.26</v>
          </cell>
        </row>
        <row r="194">
          <cell r="A194" t="str">
            <v>M939</v>
          </cell>
          <cell r="B194" t="str">
            <v>Terra arm. ECE- pé talude 6&lt;h&lt;9m</v>
          </cell>
          <cell r="C194" t="str">
            <v>m2</v>
          </cell>
          <cell r="D194">
            <v>137.04</v>
          </cell>
          <cell r="E194" t="str">
            <v>m2</v>
          </cell>
          <cell r="F194">
            <v>137.04</v>
          </cell>
        </row>
        <row r="195">
          <cell r="A195" t="str">
            <v>M940</v>
          </cell>
          <cell r="B195" t="str">
            <v>Terra arm. ECE- pé talude 9&lt;h&lt;12m</v>
          </cell>
          <cell r="C195" t="str">
            <v>m2</v>
          </cell>
          <cell r="D195">
            <v>199.26</v>
          </cell>
          <cell r="E195" t="str">
            <v>m2</v>
          </cell>
          <cell r="F195">
            <v>199.26</v>
          </cell>
        </row>
        <row r="196">
          <cell r="A196" t="str">
            <v>M941</v>
          </cell>
          <cell r="B196" t="str">
            <v>Terra arm. ECE-enc. portante 0&lt;h&lt;6m</v>
          </cell>
          <cell r="C196" t="str">
            <v>m2</v>
          </cell>
          <cell r="D196">
            <v>173.33</v>
          </cell>
          <cell r="E196" t="str">
            <v>m2</v>
          </cell>
          <cell r="F196">
            <v>173.33</v>
          </cell>
        </row>
        <row r="197">
          <cell r="A197" t="str">
            <v>M942</v>
          </cell>
          <cell r="B197" t="str">
            <v>Terra arm. ECE-enc. portante 6&lt;h&lt;9m</v>
          </cell>
          <cell r="C197" t="str">
            <v>m2</v>
          </cell>
          <cell r="D197">
            <v>223.7</v>
          </cell>
          <cell r="E197" t="str">
            <v>m2</v>
          </cell>
          <cell r="F197">
            <v>223.7</v>
          </cell>
        </row>
        <row r="198">
          <cell r="A198" t="str">
            <v>M945</v>
          </cell>
          <cell r="B198" t="str">
            <v>Haste para perfuratriz de esteira</v>
          </cell>
          <cell r="C198" t="str">
            <v>un</v>
          </cell>
          <cell r="D198">
            <v>470</v>
          </cell>
          <cell r="E198" t="str">
            <v>un</v>
          </cell>
          <cell r="F198">
            <v>470</v>
          </cell>
        </row>
        <row r="199">
          <cell r="A199" t="str">
            <v>M946</v>
          </cell>
          <cell r="B199" t="str">
            <v>Luva para perfuratriz de esteira</v>
          </cell>
          <cell r="C199" t="str">
            <v>un</v>
          </cell>
          <cell r="D199">
            <v>103</v>
          </cell>
          <cell r="E199" t="str">
            <v>un</v>
          </cell>
          <cell r="F199">
            <v>103</v>
          </cell>
        </row>
        <row r="200">
          <cell r="A200" t="str">
            <v>M947</v>
          </cell>
          <cell r="B200" t="str">
            <v>Punho para perfuratriz de esteira</v>
          </cell>
          <cell r="C200" t="str">
            <v>un</v>
          </cell>
          <cell r="D200">
            <v>301.51</v>
          </cell>
          <cell r="E200" t="str">
            <v>un</v>
          </cell>
          <cell r="F200">
            <v>301.51</v>
          </cell>
        </row>
        <row r="201">
          <cell r="A201" t="str">
            <v>M948</v>
          </cell>
          <cell r="B201" t="str">
            <v>Coroa para perfuratriz de esteira</v>
          </cell>
          <cell r="C201" t="str">
            <v>un</v>
          </cell>
          <cell r="D201">
            <v>490</v>
          </cell>
          <cell r="E201" t="str">
            <v>un</v>
          </cell>
          <cell r="F201">
            <v>490</v>
          </cell>
        </row>
        <row r="202">
          <cell r="A202" t="str">
            <v>M949</v>
          </cell>
          <cell r="B202" t="str">
            <v>Disco diam. p/ máq. de disco 48kW</v>
          </cell>
          <cell r="C202" t="str">
            <v>un</v>
          </cell>
          <cell r="D202">
            <v>589</v>
          </cell>
          <cell r="E202" t="str">
            <v>un</v>
          </cell>
          <cell r="F202">
            <v>589</v>
          </cell>
        </row>
        <row r="203">
          <cell r="A203" t="str">
            <v>M950</v>
          </cell>
          <cell r="B203" t="str">
            <v>Coroa de diamante linha NX</v>
          </cell>
          <cell r="C203" t="str">
            <v>un</v>
          </cell>
          <cell r="D203">
            <v>285.12</v>
          </cell>
          <cell r="E203" t="str">
            <v>un</v>
          </cell>
          <cell r="F203">
            <v>285.12</v>
          </cell>
        </row>
        <row r="204">
          <cell r="A204" t="str">
            <v>M951</v>
          </cell>
          <cell r="B204" t="str">
            <v>Calibrador de diamante linha NX</v>
          </cell>
          <cell r="C204" t="str">
            <v>un</v>
          </cell>
          <cell r="D204">
            <v>293.76</v>
          </cell>
          <cell r="E204" t="str">
            <v>un</v>
          </cell>
          <cell r="F204">
            <v>293.76</v>
          </cell>
        </row>
        <row r="205">
          <cell r="A205" t="str">
            <v>M952</v>
          </cell>
          <cell r="B205" t="str">
            <v>Mola comum linha NX</v>
          </cell>
          <cell r="C205" t="str">
            <v>un</v>
          </cell>
          <cell r="D205">
            <v>16.2</v>
          </cell>
          <cell r="E205" t="str">
            <v>un</v>
          </cell>
          <cell r="F205">
            <v>16.2</v>
          </cell>
        </row>
        <row r="206">
          <cell r="A206" t="str">
            <v>M953</v>
          </cell>
          <cell r="B206" t="str">
            <v>Barrilete simples linha NX</v>
          </cell>
          <cell r="C206" t="str">
            <v>un</v>
          </cell>
          <cell r="D206">
            <v>142.56</v>
          </cell>
          <cell r="E206" t="str">
            <v>un</v>
          </cell>
          <cell r="F206">
            <v>142.56</v>
          </cell>
        </row>
        <row r="207">
          <cell r="A207" t="str">
            <v>M954</v>
          </cell>
          <cell r="B207" t="str">
            <v>Haste paredes paraleleas c/ niples</v>
          </cell>
          <cell r="C207" t="str">
            <v>un</v>
          </cell>
          <cell r="D207">
            <v>176.04</v>
          </cell>
          <cell r="E207" t="str">
            <v>un</v>
          </cell>
          <cell r="F207">
            <v>176.04</v>
          </cell>
        </row>
        <row r="208">
          <cell r="A208" t="str">
            <v>M955</v>
          </cell>
          <cell r="B208" t="str">
            <v>Coroa de widia linha NX</v>
          </cell>
          <cell r="C208" t="str">
            <v>un</v>
          </cell>
          <cell r="D208">
            <v>76.680000000000007</v>
          </cell>
          <cell r="E208" t="str">
            <v>un</v>
          </cell>
          <cell r="F208">
            <v>76.680000000000007</v>
          </cell>
        </row>
        <row r="209">
          <cell r="A209" t="str">
            <v>M956</v>
          </cell>
          <cell r="B209" t="str">
            <v>Sapata de widia linha NX</v>
          </cell>
          <cell r="C209" t="str">
            <v>un</v>
          </cell>
          <cell r="D209">
            <v>70.2</v>
          </cell>
          <cell r="E209" t="str">
            <v>un</v>
          </cell>
          <cell r="F209">
            <v>70.2</v>
          </cell>
        </row>
        <row r="210">
          <cell r="A210" t="str">
            <v>M957</v>
          </cell>
          <cell r="B210" t="str">
            <v>Revestimento c/ conector linha NX</v>
          </cell>
          <cell r="C210" t="str">
            <v>un</v>
          </cell>
          <cell r="D210">
            <v>108</v>
          </cell>
          <cell r="E210" t="str">
            <v>un</v>
          </cell>
          <cell r="F210">
            <v>108</v>
          </cell>
        </row>
        <row r="211">
          <cell r="A211" t="str">
            <v>M958</v>
          </cell>
          <cell r="B211" t="str">
            <v>Calibrador de widia simples linh NX</v>
          </cell>
          <cell r="C211" t="str">
            <v>un</v>
          </cell>
          <cell r="D211">
            <v>76.680000000000007</v>
          </cell>
          <cell r="E211" t="str">
            <v>un</v>
          </cell>
          <cell r="F211">
            <v>76.680000000000007</v>
          </cell>
        </row>
        <row r="212">
          <cell r="A212" t="str">
            <v>M960</v>
          </cell>
          <cell r="B212" t="str">
            <v>Fio de nylon n. 40</v>
          </cell>
          <cell r="C212" t="str">
            <v>m</v>
          </cell>
          <cell r="D212">
            <v>0.03</v>
          </cell>
          <cell r="E212" t="str">
            <v>rl</v>
          </cell>
          <cell r="F212">
            <v>3</v>
          </cell>
        </row>
        <row r="213">
          <cell r="A213" t="str">
            <v>M969</v>
          </cell>
          <cell r="B213" t="str">
            <v>Película refletiva lentes expostas</v>
          </cell>
          <cell r="C213" t="str">
            <v>m2</v>
          </cell>
          <cell r="D213">
            <v>71.53</v>
          </cell>
          <cell r="E213" t="str">
            <v>m2</v>
          </cell>
          <cell r="F213">
            <v>71.53</v>
          </cell>
        </row>
        <row r="214">
          <cell r="A214" t="str">
            <v>M970</v>
          </cell>
          <cell r="B214" t="str">
            <v>Película refletiva lentes inclusas</v>
          </cell>
          <cell r="C214" t="str">
            <v>m2</v>
          </cell>
          <cell r="D214">
            <v>69.31</v>
          </cell>
          <cell r="E214" t="str">
            <v>m2</v>
          </cell>
          <cell r="F214">
            <v>69.31</v>
          </cell>
        </row>
        <row r="215">
          <cell r="A215" t="str">
            <v>M971</v>
          </cell>
          <cell r="B215" t="str">
            <v>Dispositivo anti-ofuscante</v>
          </cell>
          <cell r="C215" t="str">
            <v>m</v>
          </cell>
          <cell r="D215">
            <v>52</v>
          </cell>
          <cell r="E215" t="str">
            <v>m</v>
          </cell>
          <cell r="F215">
            <v>52</v>
          </cell>
        </row>
        <row r="216">
          <cell r="A216" t="str">
            <v>M972</v>
          </cell>
          <cell r="B216" t="str">
            <v>Tacha refletiva monodirecional</v>
          </cell>
          <cell r="C216" t="str">
            <v>un</v>
          </cell>
          <cell r="D216">
            <v>3.8</v>
          </cell>
          <cell r="E216" t="str">
            <v>un</v>
          </cell>
          <cell r="F216">
            <v>3.8</v>
          </cell>
        </row>
        <row r="217">
          <cell r="A217" t="str">
            <v>M973</v>
          </cell>
          <cell r="B217" t="str">
            <v>Tacha refletiva bidirecional</v>
          </cell>
          <cell r="C217" t="str">
            <v>un</v>
          </cell>
          <cell r="D217">
            <v>4.2</v>
          </cell>
          <cell r="E217" t="str">
            <v>un</v>
          </cell>
          <cell r="F217">
            <v>4.2</v>
          </cell>
        </row>
        <row r="218">
          <cell r="A218" t="str">
            <v>M974</v>
          </cell>
          <cell r="B218" t="str">
            <v>Tachão refletivo monodirecional</v>
          </cell>
          <cell r="C218" t="str">
            <v>un</v>
          </cell>
          <cell r="D218">
            <v>9.5</v>
          </cell>
          <cell r="E218" t="str">
            <v>un</v>
          </cell>
          <cell r="F218">
            <v>9.5</v>
          </cell>
        </row>
        <row r="219">
          <cell r="A219" t="str">
            <v>M975</v>
          </cell>
          <cell r="B219" t="str">
            <v>Tachão refletivo bidirecional</v>
          </cell>
          <cell r="C219" t="str">
            <v>un</v>
          </cell>
          <cell r="D219">
            <v>10.5</v>
          </cell>
          <cell r="E219" t="str">
            <v>un</v>
          </cell>
          <cell r="F219">
            <v>10.5</v>
          </cell>
        </row>
        <row r="220">
          <cell r="A220" t="str">
            <v>M976</v>
          </cell>
          <cell r="B220" t="str">
            <v>Baguete limitador de polietileno</v>
          </cell>
          <cell r="C220" t="str">
            <v>m</v>
          </cell>
          <cell r="D220">
            <v>0.56000000000000005</v>
          </cell>
          <cell r="E220" t="str">
            <v>m</v>
          </cell>
          <cell r="F220">
            <v>0.56000000000000005</v>
          </cell>
        </row>
        <row r="221">
          <cell r="A221" t="str">
            <v>M977</v>
          </cell>
          <cell r="B221" t="str">
            <v>Selante asfáltico polimerizado</v>
          </cell>
          <cell r="C221" t="str">
            <v>l</v>
          </cell>
          <cell r="D221">
            <v>24.68</v>
          </cell>
          <cell r="E221" t="str">
            <v>l</v>
          </cell>
          <cell r="F221">
            <v>24.68</v>
          </cell>
        </row>
        <row r="222">
          <cell r="A222" t="str">
            <v>M980</v>
          </cell>
          <cell r="B222" t="str">
            <v>Indenização de jazida</v>
          </cell>
          <cell r="C222" t="str">
            <v>m3</v>
          </cell>
          <cell r="D222">
            <v>0.84</v>
          </cell>
          <cell r="E222" t="str">
            <v>m3</v>
          </cell>
          <cell r="F222">
            <v>0.84</v>
          </cell>
        </row>
        <row r="223">
          <cell r="A223" t="str">
            <v>M982</v>
          </cell>
          <cell r="B223" t="str">
            <v>Isopor de 5cm de espessura</v>
          </cell>
          <cell r="C223" t="str">
            <v>m2</v>
          </cell>
          <cell r="D223">
            <v>5</v>
          </cell>
          <cell r="E223" t="str">
            <v>m2</v>
          </cell>
          <cell r="F223">
            <v>5</v>
          </cell>
        </row>
        <row r="224">
          <cell r="A224" t="str">
            <v>M983</v>
          </cell>
          <cell r="B224" t="str">
            <v>Disco diam. p/ máq. de disco 6kW</v>
          </cell>
          <cell r="C224" t="str">
            <v>un</v>
          </cell>
          <cell r="D224">
            <v>300</v>
          </cell>
          <cell r="E224" t="str">
            <v>un</v>
          </cell>
          <cell r="F224">
            <v>300</v>
          </cell>
        </row>
        <row r="225">
          <cell r="A225" t="str">
            <v>M984</v>
          </cell>
          <cell r="B225" t="str">
            <v>Chumbadores</v>
          </cell>
          <cell r="C225" t="str">
            <v>kg</v>
          </cell>
          <cell r="D225">
            <v>10.433299999999999</v>
          </cell>
          <cell r="E225" t="str">
            <v>pç</v>
          </cell>
          <cell r="F225">
            <v>3.13</v>
          </cell>
        </row>
        <row r="226">
          <cell r="A226" t="str">
            <v>M985</v>
          </cell>
          <cell r="B226" t="str">
            <v>Tubo plástico para purgadores</v>
          </cell>
          <cell r="C226" t="str">
            <v>m</v>
          </cell>
          <cell r="D226">
            <v>1.41</v>
          </cell>
          <cell r="E226" t="str">
            <v>m</v>
          </cell>
          <cell r="F226">
            <v>1.41</v>
          </cell>
        </row>
        <row r="227">
          <cell r="A227" t="str">
            <v>M996</v>
          </cell>
          <cell r="B227" t="str">
            <v>Material Demolido</v>
          </cell>
          <cell r="C227" t="str">
            <v>t</v>
          </cell>
          <cell r="D227">
            <v>0</v>
          </cell>
          <cell r="E227" t="str">
            <v>t</v>
          </cell>
          <cell r="F227">
            <v>0</v>
          </cell>
        </row>
        <row r="228">
          <cell r="A228" t="str">
            <v>M997</v>
          </cell>
          <cell r="B228" t="str">
            <v>Material Fresado</v>
          </cell>
          <cell r="C228" t="str">
            <v>t</v>
          </cell>
          <cell r="D228">
            <v>0</v>
          </cell>
          <cell r="E228" t="str">
            <v>t</v>
          </cell>
          <cell r="F228">
            <v>0</v>
          </cell>
        </row>
        <row r="229">
          <cell r="A229" t="str">
            <v>M998</v>
          </cell>
          <cell r="B229" t="str">
            <v>Madeira</v>
          </cell>
          <cell r="C229" t="str">
            <v>t</v>
          </cell>
          <cell r="D229">
            <v>0</v>
          </cell>
          <cell r="E229" t="str">
            <v>t</v>
          </cell>
          <cell r="F229">
            <v>0</v>
          </cell>
        </row>
        <row r="230">
          <cell r="A230" t="str">
            <v>M999</v>
          </cell>
          <cell r="B230" t="str">
            <v>Material retirado da pista</v>
          </cell>
          <cell r="C230" t="str">
            <v>t</v>
          </cell>
          <cell r="D230">
            <v>0</v>
          </cell>
          <cell r="E230" t="str">
            <v>t</v>
          </cell>
          <cell r="F230">
            <v>0</v>
          </cell>
        </row>
      </sheetData>
      <sheetData sheetId="20" refreshError="1">
        <row r="1">
          <cell r="A1" t="str">
            <v>E001</v>
          </cell>
          <cell r="B1" t="str">
            <v xml:space="preserve">Trator de Esteiras: D4E-PS/4A - com lâmina  </v>
          </cell>
          <cell r="C1" t="str">
            <v xml:space="preserve"> Diesel</v>
          </cell>
          <cell r="D1">
            <v>5.4363000000000001</v>
          </cell>
          <cell r="E1">
            <v>53.947299999999998</v>
          </cell>
        </row>
        <row r="2">
          <cell r="A2" t="str">
            <v>E002</v>
          </cell>
          <cell r="B2" t="str">
            <v xml:space="preserve">Trator de Esteiras: D6M-XL/6A - com lâmina  </v>
          </cell>
          <cell r="C2" t="str">
            <v xml:space="preserve"> Diesel</v>
          </cell>
          <cell r="D2">
            <v>5.4363000000000001</v>
          </cell>
          <cell r="E2">
            <v>77.576700000000002</v>
          </cell>
        </row>
        <row r="3">
          <cell r="A3" t="str">
            <v>E003</v>
          </cell>
          <cell r="B3" t="str">
            <v xml:space="preserve">Trator de Esteiras: D8R - com lâmina  </v>
          </cell>
          <cell r="C3" t="str">
            <v xml:space="preserve"> Diesel</v>
          </cell>
          <cell r="D3">
            <v>5.4363000000000001</v>
          </cell>
          <cell r="E3">
            <v>144.51490000000001</v>
          </cell>
        </row>
        <row r="4">
          <cell r="A4" t="str">
            <v>E005</v>
          </cell>
          <cell r="B4" t="str">
            <v xml:space="preserve">Motoscraper: 621F -   </v>
          </cell>
          <cell r="C4" t="str">
            <v xml:space="preserve"> Diesel</v>
          </cell>
          <cell r="D4">
            <v>5.4363000000000001</v>
          </cell>
          <cell r="E4">
            <v>158.85830000000001</v>
          </cell>
        </row>
        <row r="5">
          <cell r="A5" t="str">
            <v>E006</v>
          </cell>
          <cell r="B5" t="str">
            <v xml:space="preserve">Motoniveladora: 120G -   </v>
          </cell>
          <cell r="C5" t="str">
            <v xml:space="preserve"> Diesel</v>
          </cell>
          <cell r="D5">
            <v>5.7469999999999999</v>
          </cell>
          <cell r="E5">
            <v>52.1905</v>
          </cell>
        </row>
        <row r="6">
          <cell r="A6" t="str">
            <v>E007</v>
          </cell>
          <cell r="B6" t="str">
            <v xml:space="preserve">Trator Agrícola: 620/4 - 80 a 115 hp  </v>
          </cell>
          <cell r="C6" t="str">
            <v xml:space="preserve"> Diesel</v>
          </cell>
          <cell r="D6">
            <v>4.1938000000000004</v>
          </cell>
          <cell r="E6">
            <v>27.098500000000001</v>
          </cell>
        </row>
        <row r="7">
          <cell r="A7" t="str">
            <v>E008</v>
          </cell>
          <cell r="B7" t="str">
            <v xml:space="preserve">Escavadeira Hidráulica: 888-CKE - com drag line 760 l  </v>
          </cell>
          <cell r="C7" t="str">
            <v xml:space="preserve"> Diesel</v>
          </cell>
          <cell r="D7">
            <v>5.7469999999999999</v>
          </cell>
          <cell r="E7">
            <v>60.406999999999996</v>
          </cell>
        </row>
        <row r="8">
          <cell r="A8" t="str">
            <v>E009</v>
          </cell>
          <cell r="B8" t="str">
            <v xml:space="preserve">Carregadeira de Pneus: 924F - 1,72 m3  </v>
          </cell>
          <cell r="C8" t="str">
            <v xml:space="preserve"> Diesel</v>
          </cell>
          <cell r="D8">
            <v>5.4363000000000001</v>
          </cell>
          <cell r="E8">
            <v>41.526699999999998</v>
          </cell>
        </row>
        <row r="9">
          <cell r="A9" t="str">
            <v>E010</v>
          </cell>
          <cell r="B9" t="str">
            <v xml:space="preserve">Carregadeira de Pneus: 950F - 3,1 m3  </v>
          </cell>
          <cell r="C9" t="str">
            <v xml:space="preserve"> Diesel</v>
          </cell>
          <cell r="D9">
            <v>5.4363000000000001</v>
          </cell>
          <cell r="E9">
            <v>68.135400000000004</v>
          </cell>
        </row>
        <row r="10">
          <cell r="A10" t="str">
            <v>E011</v>
          </cell>
          <cell r="B10" t="str">
            <v xml:space="preserve">Retroescavadeira: MF-86HD -   </v>
          </cell>
          <cell r="C10" t="str">
            <v xml:space="preserve"> Diesel</v>
          </cell>
          <cell r="D10">
            <v>5.4363000000000001</v>
          </cell>
          <cell r="E10">
            <v>32.604300000000002</v>
          </cell>
        </row>
        <row r="11">
          <cell r="A11" t="str">
            <v>E012</v>
          </cell>
          <cell r="B11" t="str">
            <v xml:space="preserve">Rolo Compactador: PC-2 - pé de carneiro reb. 3,45 / 4,6 t  </v>
          </cell>
          <cell r="C11" t="str">
            <v xml:space="preserve"> Não utiliza energia</v>
          </cell>
          <cell r="D11">
            <v>0</v>
          </cell>
          <cell r="E11">
            <v>0.82709999999999995</v>
          </cell>
        </row>
        <row r="12">
          <cell r="A12" t="str">
            <v>E013</v>
          </cell>
          <cell r="B12" t="str">
            <v xml:space="preserve">Rolo Compactador: CA-25-PP - pé de carneiro autop. 11,25t vibrat  </v>
          </cell>
          <cell r="C12" t="str">
            <v xml:space="preserve"> Diesel</v>
          </cell>
          <cell r="D12">
            <v>4.1938000000000004</v>
          </cell>
          <cell r="E12">
            <v>45.536099999999998</v>
          </cell>
        </row>
        <row r="13">
          <cell r="A13" t="str">
            <v>E014</v>
          </cell>
          <cell r="B13" t="str">
            <v xml:space="preserve">Trator de Esteiras: D8R/RB - com escarificador  </v>
          </cell>
          <cell r="C13" t="str">
            <v xml:space="preserve"> Diesel</v>
          </cell>
          <cell r="D13">
            <v>5.4363000000000001</v>
          </cell>
          <cell r="E13">
            <v>145.5427</v>
          </cell>
        </row>
        <row r="14">
          <cell r="A14" t="str">
            <v>E015</v>
          </cell>
          <cell r="B14" t="str">
            <v xml:space="preserve">Motoniveladora: 140G -   </v>
          </cell>
          <cell r="C14" t="str">
            <v xml:space="preserve"> Diesel</v>
          </cell>
          <cell r="D14">
            <v>5.7469999999999999</v>
          </cell>
          <cell r="E14">
            <v>63.596499999999999</v>
          </cell>
        </row>
        <row r="15">
          <cell r="A15" t="str">
            <v>E016</v>
          </cell>
          <cell r="B15" t="str">
            <v xml:space="preserve">Carregadeira de Pneus: W18E J L - 1,33 m3  </v>
          </cell>
          <cell r="C15" t="str">
            <v xml:space="preserve"> Diesel</v>
          </cell>
          <cell r="D15">
            <v>5.4363000000000001</v>
          </cell>
          <cell r="E15">
            <v>35.982300000000002</v>
          </cell>
        </row>
        <row r="16">
          <cell r="A16" t="str">
            <v>E055</v>
          </cell>
          <cell r="B16" t="str">
            <v xml:space="preserve">Rolo Compactador: CP433C - pé de carneiro vibratório  </v>
          </cell>
          <cell r="C16" t="str">
            <v xml:space="preserve"> Diesel</v>
          </cell>
          <cell r="D16">
            <v>4.1938000000000004</v>
          </cell>
          <cell r="E16">
            <v>41.104199999999999</v>
          </cell>
        </row>
        <row r="17">
          <cell r="A17" t="str">
            <v>E056</v>
          </cell>
          <cell r="B17" t="str">
            <v xml:space="preserve">Rolo Compactador: CT-262 - pé de carneiro tamping  </v>
          </cell>
          <cell r="C17" t="str">
            <v xml:space="preserve"> Diesel</v>
          </cell>
          <cell r="D17">
            <v>4.1938000000000004</v>
          </cell>
          <cell r="E17">
            <v>93.690299999999993</v>
          </cell>
        </row>
        <row r="18">
          <cell r="A18" t="str">
            <v>E062</v>
          </cell>
          <cell r="B18" t="str">
            <v xml:space="preserve">Escavadeira Hidráulica: 330 - com esteira - cap. 1,7 m3  </v>
          </cell>
          <cell r="C18" t="str">
            <v xml:space="preserve"> Diesel</v>
          </cell>
          <cell r="D18">
            <v>5.7469999999999999</v>
          </cell>
          <cell r="E18">
            <v>129.6935</v>
          </cell>
        </row>
        <row r="19">
          <cell r="A19" t="str">
            <v>E063</v>
          </cell>
          <cell r="B19" t="str">
            <v xml:space="preserve">Escavadeira Hidráulica: 320L - c/ est. - cap 600l p/ longo alcance  </v>
          </cell>
          <cell r="C19" t="str">
            <v xml:space="preserve"> Diesel</v>
          </cell>
          <cell r="D19">
            <v>5.7469999999999999</v>
          </cell>
          <cell r="E19">
            <v>68.950999999999993</v>
          </cell>
        </row>
        <row r="20">
          <cell r="A20" t="str">
            <v>E065</v>
          </cell>
          <cell r="B20" t="str">
            <v xml:space="preserve">Draga de Sucção: p/ extração de Areia  6"  </v>
          </cell>
          <cell r="C20" t="str">
            <v xml:space="preserve"> Diesel</v>
          </cell>
          <cell r="D20">
            <v>0</v>
          </cell>
          <cell r="E20">
            <v>12.652200000000001</v>
          </cell>
        </row>
        <row r="21">
          <cell r="A21" t="str">
            <v>E066</v>
          </cell>
          <cell r="B21" t="str">
            <v xml:space="preserve">Chata - 25m3: com rebocador  </v>
          </cell>
          <cell r="C21" t="str">
            <v xml:space="preserve"> Diesel</v>
          </cell>
          <cell r="D21">
            <v>5.2809999999999997</v>
          </cell>
          <cell r="E21">
            <v>44.421399999999998</v>
          </cell>
        </row>
        <row r="22">
          <cell r="A22" t="str">
            <v>E101</v>
          </cell>
          <cell r="B22" t="str">
            <v xml:space="preserve">Grade de Discos: GA 24 x 24  </v>
          </cell>
          <cell r="C22" t="str">
            <v xml:space="preserve"> Não utiliza energia</v>
          </cell>
          <cell r="D22">
            <v>0</v>
          </cell>
          <cell r="E22">
            <v>0.94110000000000005</v>
          </cell>
        </row>
        <row r="23">
          <cell r="A23" t="str">
            <v>E102</v>
          </cell>
          <cell r="B23" t="str">
            <v xml:space="preserve">Rolo Compactador: CC-431 - Tanden vibrat. autoprop. 10,9 t  </v>
          </cell>
          <cell r="C23" t="str">
            <v xml:space="preserve"> Diesel</v>
          </cell>
          <cell r="D23">
            <v>4.1938000000000004</v>
          </cell>
          <cell r="E23">
            <v>50.396099999999997</v>
          </cell>
        </row>
        <row r="24">
          <cell r="A24" t="str">
            <v>E103</v>
          </cell>
          <cell r="B24" t="str">
            <v xml:space="preserve">Rolo Compactador: SPV 84 - liso, vibrat. autoprop. 11,6 t  </v>
          </cell>
          <cell r="C24" t="str">
            <v xml:space="preserve"> Diesel</v>
          </cell>
          <cell r="D24">
            <v>4.1938000000000004</v>
          </cell>
          <cell r="E24">
            <v>47.619500000000002</v>
          </cell>
        </row>
        <row r="25">
          <cell r="A25" t="str">
            <v>E104</v>
          </cell>
          <cell r="B25" t="str">
            <v xml:space="preserve">Rolo Compactador: CC-222 - liso, tanden vibrat. autoprop. 7,2  </v>
          </cell>
          <cell r="C25" t="str">
            <v xml:space="preserve"> Diesel</v>
          </cell>
          <cell r="D25">
            <v>4.1938000000000004</v>
          </cell>
          <cell r="E25">
            <v>40.826099999999997</v>
          </cell>
        </row>
        <row r="26">
          <cell r="A26" t="str">
            <v>E105</v>
          </cell>
          <cell r="B26" t="str">
            <v xml:space="preserve">Rolo Compactador: SP 8000 - de pneus autoprop. 21 t  </v>
          </cell>
          <cell r="C26" t="str">
            <v xml:space="preserve"> Diesel</v>
          </cell>
          <cell r="D26">
            <v>4.1938000000000004</v>
          </cell>
          <cell r="E26">
            <v>50.769300000000001</v>
          </cell>
        </row>
        <row r="27">
          <cell r="A27" t="str">
            <v>E106</v>
          </cell>
          <cell r="B27" t="str">
            <v xml:space="preserve">Usina Misturadora: USC-2 - de solos 350 / 600 t/h  </v>
          </cell>
          <cell r="C27" t="str">
            <v xml:space="preserve"> Elétrico</v>
          </cell>
          <cell r="D27">
            <v>5.7469999999999999</v>
          </cell>
          <cell r="E27">
            <v>28.718399999999999</v>
          </cell>
        </row>
        <row r="28">
          <cell r="A28" t="str">
            <v>E107</v>
          </cell>
          <cell r="B28" t="str">
            <v xml:space="preserve">Vassoura Mecânica: rebocável  </v>
          </cell>
          <cell r="C28" t="str">
            <v xml:space="preserve"> Não utiliza energia</v>
          </cell>
          <cell r="D28">
            <v>0</v>
          </cell>
          <cell r="E28">
            <v>2.85</v>
          </cell>
        </row>
        <row r="29">
          <cell r="A29" t="str">
            <v>E108</v>
          </cell>
          <cell r="B29" t="str">
            <v xml:space="preserve">Distribuidor de Agregados: rebocável  </v>
          </cell>
          <cell r="C29" t="str">
            <v xml:space="preserve"> Não utiliza energia</v>
          </cell>
          <cell r="D29">
            <v>0</v>
          </cell>
          <cell r="E29">
            <v>2.1840000000000002</v>
          </cell>
        </row>
        <row r="30">
          <cell r="A30" t="str">
            <v>E109</v>
          </cell>
          <cell r="B30" t="str">
            <v xml:space="preserve">Distribuidor de Agregados: SD-1 - autopropelido  </v>
          </cell>
          <cell r="C30" t="str">
            <v xml:space="preserve"> Diesel</v>
          </cell>
          <cell r="D30">
            <v>5.4363000000000001</v>
          </cell>
          <cell r="E30">
            <v>30.139399999999998</v>
          </cell>
        </row>
        <row r="31">
          <cell r="A31" t="str">
            <v>E110</v>
          </cell>
          <cell r="B31" t="str">
            <v xml:space="preserve">Tanque de Estocagem de Asfalto: 20.000 l  </v>
          </cell>
          <cell r="C31" t="str">
            <v xml:space="preserve"> Não utiliza energia</v>
          </cell>
          <cell r="D31">
            <v>0</v>
          </cell>
          <cell r="E31">
            <v>0.96599999999999997</v>
          </cell>
        </row>
        <row r="32">
          <cell r="A32" t="str">
            <v>E111</v>
          </cell>
          <cell r="B32" t="str">
            <v xml:space="preserve">Equip. Distribuição de Asfalto: montado em caminhão  </v>
          </cell>
          <cell r="C32" t="str">
            <v xml:space="preserve"> Diesel</v>
          </cell>
          <cell r="D32">
            <v>4.9703999999999997</v>
          </cell>
          <cell r="E32">
            <v>42.822899999999997</v>
          </cell>
        </row>
        <row r="33">
          <cell r="A33" t="str">
            <v>E112</v>
          </cell>
          <cell r="B33" t="str">
            <v xml:space="preserve">Aquecedor de Fluido Térmico: TH III -   </v>
          </cell>
          <cell r="C33" t="str">
            <v xml:space="preserve"> Elétrico</v>
          </cell>
          <cell r="D33">
            <v>0</v>
          </cell>
          <cell r="E33">
            <v>4.0125000000000002</v>
          </cell>
        </row>
        <row r="34">
          <cell r="A34" t="str">
            <v>E113</v>
          </cell>
          <cell r="B34" t="str">
            <v xml:space="preserve">Usina de Asfalto a Quente: DMC-2 - 40 / 60 t/h  </v>
          </cell>
          <cell r="C34" t="str">
            <v xml:space="preserve"> Elétrico</v>
          </cell>
          <cell r="D34">
            <v>5.7469999999999999</v>
          </cell>
          <cell r="E34">
            <v>84.634799999999998</v>
          </cell>
        </row>
        <row r="35">
          <cell r="A35" t="str">
            <v>E114</v>
          </cell>
          <cell r="B35" t="str">
            <v xml:space="preserve">Vibro-acabadora de Asfalto: VDA-206 - sobre pneus  </v>
          </cell>
          <cell r="C35" t="str">
            <v xml:space="preserve"> Diesel</v>
          </cell>
          <cell r="D35">
            <v>5.7469999999999999</v>
          </cell>
          <cell r="E35">
            <v>21.054200000000002</v>
          </cell>
        </row>
        <row r="36">
          <cell r="A36" t="str">
            <v>E115</v>
          </cell>
          <cell r="B36" t="str">
            <v xml:space="preserve">Usina Misturadora: USC-2 - pré mist. a frio 60/100 t/h  </v>
          </cell>
          <cell r="C36" t="str">
            <v xml:space="preserve"> Elétrico</v>
          </cell>
          <cell r="D36">
            <v>5.7469999999999999</v>
          </cell>
          <cell r="E36">
            <v>25.367000000000001</v>
          </cell>
        </row>
        <row r="37">
          <cell r="A37" t="str">
            <v>E116</v>
          </cell>
          <cell r="B37" t="str">
            <v xml:space="preserve">Usina Misturadora: USC-2 - pré mist. a frio 30/60 t/h  </v>
          </cell>
          <cell r="C37" t="str">
            <v xml:space="preserve"> Elétrico</v>
          </cell>
          <cell r="D37">
            <v>5.7469999999999999</v>
          </cell>
          <cell r="E37">
            <v>16.292000000000002</v>
          </cell>
        </row>
        <row r="38">
          <cell r="A38" t="str">
            <v>E117</v>
          </cell>
          <cell r="B38" t="str">
            <v xml:space="preserve">Rolo Compactador: RT82H - estático Tanden autoprop. 8,9 t  </v>
          </cell>
          <cell r="C38" t="str">
            <v xml:space="preserve"> Diesel</v>
          </cell>
          <cell r="D38">
            <v>4.1938000000000004</v>
          </cell>
          <cell r="E38">
            <v>21.779699999999998</v>
          </cell>
        </row>
        <row r="39">
          <cell r="A39" t="str">
            <v>E118</v>
          </cell>
          <cell r="B39" t="str">
            <v xml:space="preserve">Rolo Compactador: Tanden vibrat. 1,6 t  </v>
          </cell>
          <cell r="C39" t="str">
            <v xml:space="preserve"> Diesel</v>
          </cell>
          <cell r="D39">
            <v>4.1938000000000004</v>
          </cell>
          <cell r="E39">
            <v>11.114800000000001</v>
          </cell>
        </row>
        <row r="40">
          <cell r="A40" t="str">
            <v>E119</v>
          </cell>
          <cell r="B40" t="str">
            <v xml:space="preserve">Rolo Compactador: AP23 - de pneus estat. autoprop. 23 t  </v>
          </cell>
          <cell r="C40" t="str">
            <v xml:space="preserve"> Diesel</v>
          </cell>
          <cell r="D40">
            <v>4.1938000000000004</v>
          </cell>
          <cell r="E40">
            <v>34.246499999999997</v>
          </cell>
        </row>
        <row r="41">
          <cell r="A41" t="str">
            <v>E121</v>
          </cell>
          <cell r="B41" t="str">
            <v xml:space="preserve">Rolo Compactador: CA15 - liso vibrat.autoprop. 6,6 t  </v>
          </cell>
          <cell r="C41" t="str">
            <v xml:space="preserve"> Diesel</v>
          </cell>
          <cell r="D41">
            <v>4.1938000000000004</v>
          </cell>
          <cell r="E41">
            <v>33.888399999999997</v>
          </cell>
        </row>
        <row r="42">
          <cell r="A42" t="str">
            <v>E122</v>
          </cell>
          <cell r="B42" t="str">
            <v xml:space="preserve">Equip. Distribuição Lama Asfáltica: montado em caminhão  </v>
          </cell>
          <cell r="C42" t="str">
            <v xml:space="preserve"> Diesel</v>
          </cell>
          <cell r="D42">
            <v>4.9703999999999997</v>
          </cell>
          <cell r="E42">
            <v>55.874299999999998</v>
          </cell>
        </row>
        <row r="43">
          <cell r="A43" t="str">
            <v>E123</v>
          </cell>
          <cell r="B43" t="str">
            <v xml:space="preserve">Caldeira de Asfalto Rebocável: CA-1 - 600 l  </v>
          </cell>
          <cell r="C43" t="str">
            <v xml:space="preserve"> Elétrico</v>
          </cell>
          <cell r="D43">
            <v>0</v>
          </cell>
          <cell r="E43">
            <v>1.9792000000000001</v>
          </cell>
        </row>
        <row r="44">
          <cell r="A44" t="str">
            <v>E124</v>
          </cell>
          <cell r="B44" t="str">
            <v xml:space="preserve">Usina de Asfalto a Quente: gravim 100/140 t/h  </v>
          </cell>
          <cell r="C44" t="str">
            <v xml:space="preserve"> Elétrico</v>
          </cell>
          <cell r="D44">
            <v>5.7469999999999999</v>
          </cell>
          <cell r="E44">
            <v>114.9106</v>
          </cell>
        </row>
        <row r="45">
          <cell r="A45" t="str">
            <v>E126</v>
          </cell>
          <cell r="B45" t="str">
            <v xml:space="preserve">Fresadora a Frio: 1000 C -   </v>
          </cell>
          <cell r="C45" t="str">
            <v xml:space="preserve"> Diesel</v>
          </cell>
          <cell r="D45">
            <v>5.7469999999999999</v>
          </cell>
          <cell r="E45">
            <v>137.417</v>
          </cell>
        </row>
        <row r="46">
          <cell r="A46" t="str">
            <v>E127</v>
          </cell>
          <cell r="B46" t="str">
            <v xml:space="preserve">Fresadora a Frio: 2000 DC -   </v>
          </cell>
          <cell r="C46" t="str">
            <v xml:space="preserve"> Diesel</v>
          </cell>
          <cell r="D46">
            <v>5.7469999999999999</v>
          </cell>
          <cell r="E46">
            <v>284.22500000000002</v>
          </cell>
        </row>
        <row r="47">
          <cell r="A47" t="str">
            <v>E138</v>
          </cell>
          <cell r="B47" t="str">
            <v xml:space="preserve">Estabilizador/Recicladora a Frio: RR/SS-250 -   </v>
          </cell>
          <cell r="C47" t="str">
            <v xml:space="preserve"> Diesel</v>
          </cell>
          <cell r="D47">
            <v>5.7469999999999999</v>
          </cell>
          <cell r="E47">
            <v>203.68700000000001</v>
          </cell>
        </row>
        <row r="48">
          <cell r="A48" t="str">
            <v>E139</v>
          </cell>
          <cell r="B48" t="str">
            <v xml:space="preserve">Rolo Compactador: CA25 - liso auto. vibrat.  </v>
          </cell>
          <cell r="C48" t="str">
            <v xml:space="preserve"> Diesel</v>
          </cell>
          <cell r="D48">
            <v>4.1938000000000004</v>
          </cell>
          <cell r="E48">
            <v>42.997999999999998</v>
          </cell>
        </row>
        <row r="49">
          <cell r="A49" t="str">
            <v>E142</v>
          </cell>
          <cell r="B49" t="str">
            <v xml:space="preserve">Rolo Compactador: CP271 - de pneus  </v>
          </cell>
          <cell r="C49" t="str">
            <v xml:space="preserve"> Diesel</v>
          </cell>
          <cell r="D49">
            <v>4.1938000000000004</v>
          </cell>
          <cell r="E49">
            <v>41.012599999999999</v>
          </cell>
        </row>
        <row r="50">
          <cell r="A50" t="str">
            <v>E147</v>
          </cell>
          <cell r="B50" t="str">
            <v xml:space="preserve">Usina de Asfalto a Quente: DMC-2 - 90/120 t/h com filtro de manga  </v>
          </cell>
          <cell r="C50" t="str">
            <v xml:space="preserve"> Elétrico</v>
          </cell>
          <cell r="D50">
            <v>5.7469999999999999</v>
          </cell>
          <cell r="E50">
            <v>88.358599999999996</v>
          </cell>
        </row>
        <row r="51">
          <cell r="A51" t="str">
            <v>E149</v>
          </cell>
          <cell r="B51" t="str">
            <v xml:space="preserve">Vibro-acabadora de Asfalto: VDA-600BM - sobre esteiras  </v>
          </cell>
          <cell r="C51" t="str">
            <v xml:space="preserve"> Diesel</v>
          </cell>
          <cell r="D51">
            <v>5.7469999999999999</v>
          </cell>
          <cell r="E51">
            <v>52.372999999999998</v>
          </cell>
        </row>
        <row r="52">
          <cell r="A52" t="str">
            <v>E151</v>
          </cell>
          <cell r="B52" t="str">
            <v xml:space="preserve">Rolo Compactador: SP5500 - autoprop. de pneus 20 t  </v>
          </cell>
          <cell r="C52" t="str">
            <v xml:space="preserve"> Diesel</v>
          </cell>
          <cell r="D52">
            <v>4.1938000000000004</v>
          </cell>
          <cell r="E52">
            <v>34.217300000000002</v>
          </cell>
        </row>
        <row r="53">
          <cell r="A53" t="str">
            <v>E153</v>
          </cell>
          <cell r="B53" t="str">
            <v xml:space="preserve">Recicladora de Pavimento: a quente "in situ"  </v>
          </cell>
          <cell r="C53" t="str">
            <v xml:space="preserve"> Diesel</v>
          </cell>
          <cell r="D53">
            <v>11.494</v>
          </cell>
          <cell r="E53">
            <v>387.23480000000001</v>
          </cell>
        </row>
        <row r="54">
          <cell r="A54" t="str">
            <v>E156</v>
          </cell>
          <cell r="B54" t="str">
            <v xml:space="preserve">Trator Uniloader: 1845 - C - c/ vassoura de 1,80 m  </v>
          </cell>
          <cell r="C54" t="str">
            <v xml:space="preserve"> Diesel</v>
          </cell>
          <cell r="D54">
            <v>5.4363000000000001</v>
          </cell>
          <cell r="E54">
            <v>24.787800000000001</v>
          </cell>
        </row>
        <row r="55">
          <cell r="A55" t="str">
            <v>E160</v>
          </cell>
          <cell r="B55" t="str">
            <v xml:space="preserve">Fresadora e Distribuidora de solo: 9500 - para regular sub leito  </v>
          </cell>
          <cell r="C55" t="str">
            <v xml:space="preserve"> Diesel</v>
          </cell>
          <cell r="D55">
            <v>5.7469999999999999</v>
          </cell>
          <cell r="E55">
            <v>234.64689999999999</v>
          </cell>
        </row>
        <row r="56">
          <cell r="A56" t="str">
            <v>E161</v>
          </cell>
          <cell r="B56" t="str">
            <v xml:space="preserve">Equip. Distr. de L.A. Rupt. Contr.: MICROFLEX - acoplado em cavalo mecânico  </v>
          </cell>
          <cell r="C56" t="str">
            <v xml:space="preserve"> Diesel</v>
          </cell>
          <cell r="D56">
            <v>5.2809999999999997</v>
          </cell>
          <cell r="E56">
            <v>104.0889</v>
          </cell>
        </row>
        <row r="57">
          <cell r="A57" t="str">
            <v>E201</v>
          </cell>
          <cell r="B57" t="str">
            <v xml:space="preserve">Compressor de Ar: XA 125PD - 250 PCM  </v>
          </cell>
          <cell r="C57" t="str">
            <v xml:space="preserve"> Diesel</v>
          </cell>
          <cell r="D57">
            <v>4.1938000000000004</v>
          </cell>
          <cell r="E57">
            <v>20.5779</v>
          </cell>
        </row>
        <row r="58">
          <cell r="A58" t="str">
            <v>E202</v>
          </cell>
          <cell r="B58" t="str">
            <v xml:space="preserve">Compressor de Ar: XA 175 - 350 PCM  </v>
          </cell>
          <cell r="C58" t="str">
            <v xml:space="preserve"> Diesel</v>
          </cell>
          <cell r="D58">
            <v>4.1938000000000004</v>
          </cell>
          <cell r="E58">
            <v>26.444299999999998</v>
          </cell>
        </row>
        <row r="59">
          <cell r="A59" t="str">
            <v>E203</v>
          </cell>
          <cell r="B59" t="str">
            <v xml:space="preserve">Compressor de Ar: XA 360 SD - 764 PCM  </v>
          </cell>
          <cell r="C59" t="str">
            <v xml:space="preserve"> Diesel</v>
          </cell>
          <cell r="D59">
            <v>4.1938000000000004</v>
          </cell>
          <cell r="E59">
            <v>55.485300000000002</v>
          </cell>
        </row>
        <row r="60">
          <cell r="A60" t="str">
            <v>E204</v>
          </cell>
          <cell r="B60" t="str">
            <v xml:space="preserve">Martelete: RH658-6L - perfuratriz manual  </v>
          </cell>
          <cell r="C60" t="str">
            <v xml:space="preserve"> Não utiliza energia</v>
          </cell>
          <cell r="D60">
            <v>3.7277999999999998</v>
          </cell>
          <cell r="E60">
            <v>4.5633999999999997</v>
          </cell>
        </row>
        <row r="61">
          <cell r="A61" t="str">
            <v>E205</v>
          </cell>
          <cell r="B61" t="str">
            <v xml:space="preserve">Perfuratriz sobre Esteiras: ROC 442PC - Crawler Drill  </v>
          </cell>
          <cell r="C61" t="str">
            <v xml:space="preserve"> Não utiliza energia</v>
          </cell>
          <cell r="D61">
            <v>4.1938000000000004</v>
          </cell>
          <cell r="E61">
            <v>31.947099999999999</v>
          </cell>
        </row>
        <row r="62">
          <cell r="A62" t="str">
            <v>E206</v>
          </cell>
          <cell r="B62" t="str">
            <v xml:space="preserve">Conjunto de Britagem: L-150A - 30 m3/h  </v>
          </cell>
          <cell r="C62" t="str">
            <v xml:space="preserve"> Elétrico</v>
          </cell>
          <cell r="D62">
            <v>5.7469999999999999</v>
          </cell>
          <cell r="E62">
            <v>67.889799999999994</v>
          </cell>
        </row>
        <row r="63">
          <cell r="A63" t="str">
            <v>E207</v>
          </cell>
          <cell r="B63" t="str">
            <v xml:space="preserve">Conjunto de Britagem: c-130 - 9 a 20 m3/h  </v>
          </cell>
          <cell r="C63" t="str">
            <v xml:space="preserve"> Elétrico</v>
          </cell>
          <cell r="D63">
            <v>5.7469999999999999</v>
          </cell>
          <cell r="E63">
            <v>19.775700000000001</v>
          </cell>
        </row>
        <row r="64">
          <cell r="A64" t="str">
            <v>E208</v>
          </cell>
          <cell r="B64" t="str">
            <v xml:space="preserve">Compressor de Ar: XA90PD - 180 PCM  </v>
          </cell>
          <cell r="C64" t="str">
            <v xml:space="preserve"> Diesel</v>
          </cell>
          <cell r="D64">
            <v>4.1938000000000004</v>
          </cell>
          <cell r="E64">
            <v>19.863900000000001</v>
          </cell>
        </row>
        <row r="65">
          <cell r="A65" t="str">
            <v>E209</v>
          </cell>
          <cell r="B65" t="str">
            <v xml:space="preserve">Martelete: TEX28 - rompedor  28 kg  </v>
          </cell>
          <cell r="C65" t="str">
            <v xml:space="preserve"> Não utiliza energia</v>
          </cell>
          <cell r="D65">
            <v>3.7277999999999998</v>
          </cell>
          <cell r="E65">
            <v>4.2933000000000003</v>
          </cell>
        </row>
        <row r="66">
          <cell r="A66" t="str">
            <v>E210</v>
          </cell>
          <cell r="B66" t="str">
            <v xml:space="preserve">Martelete: TEX33 - rompedor  33 kg  </v>
          </cell>
          <cell r="C66" t="str">
            <v xml:space="preserve"> Não utiliza energia</v>
          </cell>
          <cell r="D66">
            <v>3.7277999999999998</v>
          </cell>
          <cell r="E66">
            <v>4.2347999999999999</v>
          </cell>
        </row>
        <row r="67">
          <cell r="A67" t="str">
            <v>E211</v>
          </cell>
          <cell r="B67" t="str">
            <v xml:space="preserve">Máquina para Pintura: compres. de ar p/ pintura c/ filtro  </v>
          </cell>
          <cell r="C67" t="str">
            <v xml:space="preserve"> Elétrico</v>
          </cell>
          <cell r="D67">
            <v>0</v>
          </cell>
          <cell r="E67">
            <v>0.24829999999999999</v>
          </cell>
        </row>
        <row r="68">
          <cell r="A68" t="str">
            <v>E223</v>
          </cell>
          <cell r="B68" t="str">
            <v xml:space="preserve">Compressor de Ar: portátil 375 PCM  </v>
          </cell>
          <cell r="C68" t="str">
            <v xml:space="preserve"> Diesel</v>
          </cell>
          <cell r="D68">
            <v>4.1938000000000004</v>
          </cell>
          <cell r="E68">
            <v>36.3354</v>
          </cell>
        </row>
        <row r="69">
          <cell r="A69" t="str">
            <v>E225</v>
          </cell>
          <cell r="B69" t="str">
            <v xml:space="preserve">Conjunto de Britagem: 80 m3/h  </v>
          </cell>
          <cell r="C69" t="str">
            <v xml:space="preserve"> Elétrico</v>
          </cell>
          <cell r="D69">
            <v>5.7469999999999999</v>
          </cell>
          <cell r="E69">
            <v>123.60420000000001</v>
          </cell>
        </row>
        <row r="70">
          <cell r="A70" t="str">
            <v>E226</v>
          </cell>
          <cell r="B70" t="str">
            <v xml:space="preserve">Conjunto de Britagem - p/ rachão: 80 m3/h   p/ produção de rachão  </v>
          </cell>
          <cell r="C70" t="str">
            <v xml:space="preserve"> Elétrico</v>
          </cell>
          <cell r="D70">
            <v>5.7469999999999999</v>
          </cell>
          <cell r="E70">
            <v>36.0685</v>
          </cell>
        </row>
        <row r="71">
          <cell r="A71" t="str">
            <v>E301</v>
          </cell>
          <cell r="B71" t="str">
            <v xml:space="preserve">Betoneira: 320 l  </v>
          </cell>
          <cell r="C71" t="str">
            <v xml:space="preserve"> Diesel</v>
          </cell>
          <cell r="D71">
            <v>4.1938000000000004</v>
          </cell>
          <cell r="E71">
            <v>6.3403</v>
          </cell>
        </row>
        <row r="72">
          <cell r="A72" t="str">
            <v>E302</v>
          </cell>
          <cell r="B72" t="str">
            <v xml:space="preserve">Betoneira: 320 l  </v>
          </cell>
          <cell r="C72" t="str">
            <v xml:space="preserve"> Elétrico</v>
          </cell>
          <cell r="D72">
            <v>4.1938000000000004</v>
          </cell>
          <cell r="E72">
            <v>4.3377999999999997</v>
          </cell>
        </row>
        <row r="73">
          <cell r="A73" t="str">
            <v>E303</v>
          </cell>
          <cell r="B73" t="str">
            <v xml:space="preserve">Betoneira: 750 l  </v>
          </cell>
          <cell r="C73" t="str">
            <v xml:space="preserve"> Elétrico</v>
          </cell>
          <cell r="D73">
            <v>4.1938000000000004</v>
          </cell>
          <cell r="E73">
            <v>6.1938000000000004</v>
          </cell>
        </row>
        <row r="74">
          <cell r="A74" t="str">
            <v>E304</v>
          </cell>
          <cell r="B74" t="str">
            <v xml:space="preserve">Transportador Manual: carrinho de mão 80 l  </v>
          </cell>
          <cell r="C74" t="str">
            <v xml:space="preserve"> Não utiliza energia</v>
          </cell>
          <cell r="D74">
            <v>0</v>
          </cell>
          <cell r="E74">
            <v>4.7699999999999999E-2</v>
          </cell>
        </row>
        <row r="75">
          <cell r="A75" t="str">
            <v>E305</v>
          </cell>
          <cell r="B75" t="str">
            <v xml:space="preserve">Transportador Manual: A-15 - gerica 180 l  </v>
          </cell>
          <cell r="C75" t="str">
            <v xml:space="preserve"> Não utiliza energia</v>
          </cell>
          <cell r="D75">
            <v>0</v>
          </cell>
          <cell r="E75">
            <v>0.12609999999999999</v>
          </cell>
        </row>
        <row r="76">
          <cell r="A76" t="str">
            <v>E306</v>
          </cell>
          <cell r="B76" t="str">
            <v xml:space="preserve">Vibrador de Concreto: VIP45/MT2 - de imersão  </v>
          </cell>
          <cell r="C76" t="str">
            <v xml:space="preserve"> Elétrico</v>
          </cell>
          <cell r="D76">
            <v>3.7277999999999998</v>
          </cell>
          <cell r="E76">
            <v>3.9548000000000001</v>
          </cell>
        </row>
        <row r="77">
          <cell r="A77" t="str">
            <v>E307</v>
          </cell>
          <cell r="B77" t="str">
            <v xml:space="preserve">Fábric. Pré-Moldado Concreto: tubos   D=0,2 m   M / F  </v>
          </cell>
          <cell r="C77" t="str">
            <v xml:space="preserve"> Elétrico</v>
          </cell>
          <cell r="D77">
            <v>0</v>
          </cell>
          <cell r="E77">
            <v>1.3293999999999999</v>
          </cell>
        </row>
        <row r="78">
          <cell r="A78" t="str">
            <v>E308</v>
          </cell>
          <cell r="B78" t="str">
            <v xml:space="preserve">Fábric. Pré-Moldado Concreto: tubos   D=0,3 m   M / F  </v>
          </cell>
          <cell r="C78" t="str">
            <v xml:space="preserve"> Elétrico</v>
          </cell>
          <cell r="D78">
            <v>0</v>
          </cell>
          <cell r="E78">
            <v>1.3771</v>
          </cell>
        </row>
        <row r="79">
          <cell r="A79" t="str">
            <v>E309</v>
          </cell>
          <cell r="B79" t="str">
            <v xml:space="preserve">Fábric. Pré-Moldado Concreto: tubos   D=0,4 m   M / F  </v>
          </cell>
          <cell r="C79" t="str">
            <v xml:space="preserve"> Elétrico</v>
          </cell>
          <cell r="D79">
            <v>0</v>
          </cell>
          <cell r="E79">
            <v>1.4869000000000001</v>
          </cell>
        </row>
        <row r="80">
          <cell r="A80" t="str">
            <v>E310</v>
          </cell>
          <cell r="B80" t="str">
            <v xml:space="preserve">Fábric. Pré-Moldado Concreto: tubos   D=0,6 m   M / F  </v>
          </cell>
          <cell r="C80" t="str">
            <v xml:space="preserve"> Elétrico</v>
          </cell>
          <cell r="D80">
            <v>0</v>
          </cell>
          <cell r="E80">
            <v>1.9801</v>
          </cell>
        </row>
        <row r="81">
          <cell r="A81" t="str">
            <v>E311</v>
          </cell>
          <cell r="B81" t="str">
            <v xml:space="preserve">Fábric. Pré-Moldado Concreto: tubos   D=0,8 m   M / F  </v>
          </cell>
          <cell r="C81" t="str">
            <v xml:space="preserve"> Elétrico</v>
          </cell>
          <cell r="D81">
            <v>0</v>
          </cell>
          <cell r="E81">
            <v>1.9222999999999999</v>
          </cell>
        </row>
        <row r="82">
          <cell r="A82" t="str">
            <v>E312</v>
          </cell>
          <cell r="B82" t="str">
            <v xml:space="preserve">Fábric. Pré-Moldado Concreto: tubos   D=1,0 m   M / F  </v>
          </cell>
          <cell r="C82" t="str">
            <v xml:space="preserve"> Elétrico</v>
          </cell>
          <cell r="D82">
            <v>0</v>
          </cell>
          <cell r="E82">
            <v>2.1139999999999999</v>
          </cell>
        </row>
        <row r="83">
          <cell r="A83" t="str">
            <v>E313</v>
          </cell>
          <cell r="B83" t="str">
            <v xml:space="preserve">Fábric. Pré-Moldado Concreto: tubos   D=1,2 m   M / F  </v>
          </cell>
          <cell r="C83" t="str">
            <v xml:space="preserve"> Elétrico</v>
          </cell>
          <cell r="D83">
            <v>0</v>
          </cell>
          <cell r="E83">
            <v>2.1522999999999999</v>
          </cell>
        </row>
        <row r="84">
          <cell r="A84" t="str">
            <v>E314</v>
          </cell>
          <cell r="B84" t="str">
            <v xml:space="preserve">Fábric. Pré-Moldado Concreto: tubos   D=1,5 m   M / F  </v>
          </cell>
          <cell r="C84" t="str">
            <v xml:space="preserve"> Elétrico</v>
          </cell>
          <cell r="D84">
            <v>0</v>
          </cell>
          <cell r="E84">
            <v>2.1879</v>
          </cell>
        </row>
        <row r="85">
          <cell r="A85" t="str">
            <v>E315</v>
          </cell>
          <cell r="B85" t="str">
            <v xml:space="preserve">Betoneira: 500 l  </v>
          </cell>
          <cell r="C85" t="str">
            <v xml:space="preserve"> Diesel</v>
          </cell>
          <cell r="D85">
            <v>4.1938000000000004</v>
          </cell>
          <cell r="E85">
            <v>7.1970000000000001</v>
          </cell>
        </row>
        <row r="86">
          <cell r="A86" t="str">
            <v>E316</v>
          </cell>
          <cell r="B86" t="str">
            <v xml:space="preserve">Fábric. Pré-Moldado Concreto: inst. compl. -  mourão  </v>
          </cell>
          <cell r="C86" t="str">
            <v xml:space="preserve"> Elétrico</v>
          </cell>
          <cell r="D86">
            <v>0</v>
          </cell>
          <cell r="E86">
            <v>0.58079999999999998</v>
          </cell>
        </row>
        <row r="87">
          <cell r="A87" t="str">
            <v>E317</v>
          </cell>
          <cell r="B87" t="str">
            <v xml:space="preserve">Fábric. Pré-Moldado Concreto: inst. compl. -  balizador  </v>
          </cell>
          <cell r="C87" t="str">
            <v xml:space="preserve"> Elétrico</v>
          </cell>
          <cell r="D87">
            <v>0</v>
          </cell>
          <cell r="E87">
            <v>0.61099999999999999</v>
          </cell>
        </row>
        <row r="88">
          <cell r="A88" t="str">
            <v>E318</v>
          </cell>
          <cell r="B88" t="str">
            <v xml:space="preserve">Fábric. Pré-Moldado Concreto: inst. compl. - guarda-corpo  </v>
          </cell>
          <cell r="C88" t="str">
            <v xml:space="preserve"> Elétrico</v>
          </cell>
          <cell r="D88">
            <v>0</v>
          </cell>
          <cell r="E88">
            <v>0.81599999999999995</v>
          </cell>
        </row>
        <row r="89">
          <cell r="A89" t="str">
            <v>E323</v>
          </cell>
          <cell r="B89" t="str">
            <v xml:space="preserve">Central de Concreto: 30m3/h - dosadora  </v>
          </cell>
          <cell r="C89" t="str">
            <v xml:space="preserve"> Elétrico</v>
          </cell>
          <cell r="D89">
            <v>5.7469999999999999</v>
          </cell>
          <cell r="E89">
            <v>11.347</v>
          </cell>
        </row>
        <row r="90">
          <cell r="A90" t="str">
            <v>E330</v>
          </cell>
          <cell r="B90" t="str">
            <v xml:space="preserve">Espalhadora de concreto: PS 2600 -   </v>
          </cell>
          <cell r="C90" t="str">
            <v xml:space="preserve"> Diesel</v>
          </cell>
          <cell r="D90">
            <v>5.7469999999999999</v>
          </cell>
          <cell r="E90">
            <v>182.9436</v>
          </cell>
        </row>
        <row r="91">
          <cell r="A91" t="str">
            <v>E331</v>
          </cell>
          <cell r="B91" t="str">
            <v xml:space="preserve">Acabadora de concreto: GP 2600 - com forma deslizante  </v>
          </cell>
          <cell r="C91" t="str">
            <v xml:space="preserve"> Diesel</v>
          </cell>
          <cell r="D91">
            <v>5.7469999999999999</v>
          </cell>
          <cell r="E91">
            <v>212.422</v>
          </cell>
        </row>
        <row r="92">
          <cell r="A92" t="str">
            <v>E332</v>
          </cell>
          <cell r="B92" t="str">
            <v xml:space="preserve">Texturizadora e Lançadora: TC 400 - com estação meteorológica  </v>
          </cell>
          <cell r="C92" t="str">
            <v xml:space="preserve"> Diesel</v>
          </cell>
          <cell r="D92">
            <v>3.7277999999999998</v>
          </cell>
          <cell r="E92">
            <v>58.248699999999999</v>
          </cell>
        </row>
        <row r="93">
          <cell r="A93" t="str">
            <v>E333</v>
          </cell>
          <cell r="B93" t="str">
            <v xml:space="preserve">Serra de Disco Diamantado: PRO-65 - para concreto  </v>
          </cell>
          <cell r="C93" t="str">
            <v xml:space="preserve"> Gasolina</v>
          </cell>
          <cell r="D93">
            <v>3.7277999999999998</v>
          </cell>
          <cell r="E93">
            <v>37.576799999999999</v>
          </cell>
        </row>
        <row r="94">
          <cell r="A94" t="str">
            <v>E334</v>
          </cell>
          <cell r="B94" t="str">
            <v xml:space="preserve">Seladora de Juntas: EZ100 -   </v>
          </cell>
          <cell r="C94" t="str">
            <v xml:space="preserve"> Gasolina</v>
          </cell>
          <cell r="D94">
            <v>3.7277999999999998</v>
          </cell>
          <cell r="E94">
            <v>19.320599999999999</v>
          </cell>
        </row>
        <row r="95">
          <cell r="A95" t="str">
            <v>E335</v>
          </cell>
          <cell r="B95" t="str">
            <v xml:space="preserve">Central de Concreto: MG11C - 270m3 / h - dosadora e misturadora.  </v>
          </cell>
          <cell r="C95" t="str">
            <v xml:space="preserve"> Elétrico</v>
          </cell>
          <cell r="D95">
            <v>5.7469999999999999</v>
          </cell>
          <cell r="E95">
            <v>123.1434</v>
          </cell>
        </row>
        <row r="96">
          <cell r="A96" t="str">
            <v>E337</v>
          </cell>
          <cell r="B96" t="str">
            <v xml:space="preserve">Régua vibratória: CRV 4 - 4,25m  </v>
          </cell>
          <cell r="C96" t="str">
            <v xml:space="preserve"> Elétrico</v>
          </cell>
          <cell r="D96">
            <v>3.7277999999999998</v>
          </cell>
          <cell r="E96">
            <v>5.7130000000000001</v>
          </cell>
        </row>
        <row r="97">
          <cell r="A97" t="str">
            <v>E338</v>
          </cell>
          <cell r="B97" t="str">
            <v xml:space="preserve">Serra de Juntas: C-844 - para concreto  </v>
          </cell>
          <cell r="C97" t="str">
            <v xml:space="preserve"> Elétrico</v>
          </cell>
          <cell r="D97">
            <v>3.7277999999999998</v>
          </cell>
          <cell r="E97">
            <v>4.3326000000000002</v>
          </cell>
        </row>
        <row r="98">
          <cell r="A98" t="str">
            <v>E339</v>
          </cell>
          <cell r="B98" t="str">
            <v xml:space="preserve">Fábric. Pré-Moldado Concreto: placas p/ pavimento  </v>
          </cell>
          <cell r="C98" t="str">
            <v xml:space="preserve"> Elétrico</v>
          </cell>
          <cell r="D98">
            <v>0</v>
          </cell>
          <cell r="E98">
            <v>1.2596000000000001</v>
          </cell>
        </row>
        <row r="99">
          <cell r="A99" t="str">
            <v>E340</v>
          </cell>
          <cell r="B99" t="str">
            <v xml:space="preserve">Jateadora de Areia: KI-2460 - pressurizado  </v>
          </cell>
          <cell r="C99" t="str">
            <v xml:space="preserve"> Não utiliza energia</v>
          </cell>
          <cell r="D99">
            <v>3.7277999999999998</v>
          </cell>
          <cell r="E99">
            <v>4.8484999999999996</v>
          </cell>
        </row>
        <row r="100">
          <cell r="A100" t="str">
            <v>E400</v>
          </cell>
          <cell r="B100" t="str">
            <v xml:space="preserve">Caminhão Basculante: 1418R - 5 m3 - 8,8 t  </v>
          </cell>
          <cell r="C100" t="str">
            <v xml:space="preserve"> Diesel</v>
          </cell>
          <cell r="D100">
            <v>4.9703999999999997</v>
          </cell>
          <cell r="E100">
            <v>34.086500000000001</v>
          </cell>
        </row>
        <row r="101">
          <cell r="A101" t="str">
            <v>E402</v>
          </cell>
          <cell r="B101" t="str">
            <v xml:space="preserve">Caminhão Carroceria: L2318/51 - de madeira 15 t  </v>
          </cell>
          <cell r="C101" t="str">
            <v xml:space="preserve"> Diesel</v>
          </cell>
          <cell r="D101">
            <v>4.9703999999999997</v>
          </cell>
          <cell r="E101">
            <v>37.622100000000003</v>
          </cell>
        </row>
        <row r="102">
          <cell r="A102" t="str">
            <v>E403</v>
          </cell>
          <cell r="B102" t="str">
            <v xml:space="preserve">Caminhão Basculante: LK 1620 - 6 m3 - 10,5 t  </v>
          </cell>
          <cell r="C102" t="str">
            <v xml:space="preserve"> Diesel</v>
          </cell>
          <cell r="D102">
            <v>4.9703999999999997</v>
          </cell>
          <cell r="E102">
            <v>39.272100000000002</v>
          </cell>
        </row>
        <row r="103">
          <cell r="A103" t="str">
            <v>E404</v>
          </cell>
          <cell r="B103" t="str">
            <v xml:space="preserve">Caminhão Basculante: LK 2318 - 10 m3 - 15 t  </v>
          </cell>
          <cell r="C103" t="str">
            <v xml:space="preserve"> Diesel</v>
          </cell>
          <cell r="D103">
            <v>4.9703999999999997</v>
          </cell>
          <cell r="E103">
            <v>39.351799999999997</v>
          </cell>
        </row>
        <row r="104">
          <cell r="A104" t="str">
            <v>E405</v>
          </cell>
          <cell r="B104" t="str">
            <v xml:space="preserve">Caminhão Basculante: LK2318 - p/ rocha 8 m3 - 13 t  </v>
          </cell>
          <cell r="C104" t="str">
            <v xml:space="preserve"> Diesel</v>
          </cell>
          <cell r="D104">
            <v>4.9703999999999997</v>
          </cell>
          <cell r="E104">
            <v>40.878900000000002</v>
          </cell>
        </row>
        <row r="105">
          <cell r="A105" t="str">
            <v>E406</v>
          </cell>
          <cell r="B105" t="str">
            <v xml:space="preserve">Caminhão Tanque: L1620/51 - 6.000 l  </v>
          </cell>
          <cell r="C105" t="str">
            <v xml:space="preserve"> Diesel</v>
          </cell>
          <cell r="D105">
            <v>4.9703999999999997</v>
          </cell>
          <cell r="E105">
            <v>36.354900000000001</v>
          </cell>
        </row>
        <row r="106">
          <cell r="A106" t="str">
            <v>E407</v>
          </cell>
          <cell r="B106" t="str">
            <v xml:space="preserve">Caminhão Tanque: L2318/51 - 10.000 l  </v>
          </cell>
          <cell r="C106" t="str">
            <v xml:space="preserve"> Diesel</v>
          </cell>
          <cell r="D106">
            <v>4.9703999999999997</v>
          </cell>
          <cell r="E106">
            <v>38.028799999999997</v>
          </cell>
        </row>
        <row r="107">
          <cell r="A107" t="str">
            <v>E408</v>
          </cell>
          <cell r="B107" t="str">
            <v xml:space="preserve">Caminhão Carroceria: 710 / 37 - fixa 4 t  </v>
          </cell>
          <cell r="C107" t="str">
            <v xml:space="preserve"> Diesel</v>
          </cell>
          <cell r="D107">
            <v>4.9703999999999997</v>
          </cell>
          <cell r="E107">
            <v>21.9148</v>
          </cell>
        </row>
        <row r="108">
          <cell r="A108" t="str">
            <v>E409</v>
          </cell>
          <cell r="B108" t="str">
            <v xml:space="preserve">Caminhão Carroceria: L1620/51 - fixa 9 t  </v>
          </cell>
          <cell r="C108" t="str">
            <v xml:space="preserve"> Diesel</v>
          </cell>
          <cell r="D108">
            <v>4.9703999999999997</v>
          </cell>
          <cell r="E108">
            <v>35.988799999999998</v>
          </cell>
        </row>
        <row r="109">
          <cell r="A109" t="str">
            <v>E410</v>
          </cell>
          <cell r="B109" t="str">
            <v xml:space="preserve">Caminhão Basculante: 1214K - 4 m3 - 7,1 t  </v>
          </cell>
          <cell r="C109" t="str">
            <v xml:space="preserve"> Diesel</v>
          </cell>
          <cell r="D109">
            <v>4.9703999999999997</v>
          </cell>
          <cell r="E109">
            <v>29.4145</v>
          </cell>
        </row>
        <row r="110">
          <cell r="A110" t="str">
            <v>E411</v>
          </cell>
          <cell r="B110" t="str">
            <v xml:space="preserve">Cavalo Mecânico com Reboque: LS1632/45 - 29,5 t  </v>
          </cell>
          <cell r="C110" t="str">
            <v xml:space="preserve"> Diesel</v>
          </cell>
          <cell r="D110">
            <v>5.2809999999999997</v>
          </cell>
          <cell r="E110">
            <v>53.461799999999997</v>
          </cell>
        </row>
        <row r="111">
          <cell r="A111" t="str">
            <v>E412</v>
          </cell>
          <cell r="B111" t="str">
            <v xml:space="preserve">Veículo Leve: GOL 1000 - automóvel até 100 hp  </v>
          </cell>
          <cell r="C111" t="str">
            <v xml:space="preserve"> Gasolina</v>
          </cell>
          <cell r="D111">
            <v>4.5044000000000004</v>
          </cell>
          <cell r="E111">
            <v>16.7941</v>
          </cell>
        </row>
        <row r="112">
          <cell r="A112" t="str">
            <v>E416</v>
          </cell>
          <cell r="B112" t="str">
            <v xml:space="preserve">Veículo Leve: pick up Silverado  </v>
          </cell>
          <cell r="C112" t="str">
            <v xml:space="preserve"> Diesel</v>
          </cell>
          <cell r="D112">
            <v>4.5044000000000004</v>
          </cell>
          <cell r="E112">
            <v>18.8369</v>
          </cell>
        </row>
        <row r="113">
          <cell r="A113" t="str">
            <v>E421</v>
          </cell>
          <cell r="B113" t="str">
            <v xml:space="preserve">Caminhão Tanque: L2318/51 - 13.000 l  </v>
          </cell>
          <cell r="C113" t="str">
            <v xml:space="preserve"> Diesel</v>
          </cell>
          <cell r="D113">
            <v>4.9703999999999997</v>
          </cell>
          <cell r="E113">
            <v>38.420999999999999</v>
          </cell>
        </row>
        <row r="114">
          <cell r="A114" t="str">
            <v>E422</v>
          </cell>
          <cell r="B114" t="str">
            <v xml:space="preserve">Caminhão Tanque: L1620/51 - 8.000 l  </v>
          </cell>
          <cell r="C114" t="str">
            <v xml:space="preserve"> Diesel</v>
          </cell>
          <cell r="D114">
            <v>4.9703999999999997</v>
          </cell>
          <cell r="E114">
            <v>36.441899999999997</v>
          </cell>
        </row>
        <row r="115">
          <cell r="A115" t="str">
            <v>E427</v>
          </cell>
          <cell r="B115" t="str">
            <v xml:space="preserve">Caminhão Betoneira: 16-220 - 11,5 t   5m3  </v>
          </cell>
          <cell r="C115" t="str">
            <v xml:space="preserve"> Diesel</v>
          </cell>
          <cell r="D115">
            <v>4.9703999999999997</v>
          </cell>
          <cell r="E115">
            <v>44.1663</v>
          </cell>
        </row>
        <row r="116">
          <cell r="A116" t="str">
            <v>E432</v>
          </cell>
          <cell r="B116" t="str">
            <v xml:space="preserve">Caminhão Basculante: NL-10-320  6x4 - 20 t  </v>
          </cell>
          <cell r="C116" t="str">
            <v xml:space="preserve"> Diesel</v>
          </cell>
          <cell r="D116">
            <v>4.9703999999999997</v>
          </cell>
          <cell r="E116">
            <v>53.091999999999999</v>
          </cell>
        </row>
        <row r="117">
          <cell r="A117" t="str">
            <v>E433</v>
          </cell>
          <cell r="B117" t="str">
            <v xml:space="preserve">Caminhão Basculante: NL-10-320  6x4 - para rocha  18 t  </v>
          </cell>
          <cell r="C117" t="str">
            <v xml:space="preserve"> Diesel</v>
          </cell>
          <cell r="D117">
            <v>4.9703999999999997</v>
          </cell>
          <cell r="E117">
            <v>54.608899999999998</v>
          </cell>
        </row>
        <row r="118">
          <cell r="A118" t="str">
            <v>E434</v>
          </cell>
          <cell r="B118" t="str">
            <v xml:space="preserve">Caminhão Carroceria: L 1620/51 - c/ guindauto   6 t x m  </v>
          </cell>
          <cell r="C118" t="str">
            <v xml:space="preserve"> Diesel</v>
          </cell>
          <cell r="D118">
            <v>4.9703999999999997</v>
          </cell>
          <cell r="E118">
            <v>38.572800000000001</v>
          </cell>
        </row>
        <row r="119">
          <cell r="A119" t="str">
            <v>E435</v>
          </cell>
          <cell r="B119" t="str">
            <v xml:space="preserve">Caminhão Basculante: LK-1620/51 - p/ rocha   5m3    8 t  </v>
          </cell>
          <cell r="C119" t="str">
            <v xml:space="preserve"> Diesel</v>
          </cell>
          <cell r="D119">
            <v>4.9703999999999997</v>
          </cell>
          <cell r="E119">
            <v>40.184899999999999</v>
          </cell>
        </row>
        <row r="120">
          <cell r="A120" t="str">
            <v>E501</v>
          </cell>
          <cell r="B120" t="str">
            <v xml:space="preserve">Grupo Gerador: GEHMB-44 - 40 / 44 KVA  </v>
          </cell>
          <cell r="C120" t="str">
            <v xml:space="preserve"> Diesel</v>
          </cell>
          <cell r="D120">
            <v>4.1938000000000004</v>
          </cell>
          <cell r="E120">
            <v>13.5405</v>
          </cell>
        </row>
        <row r="121">
          <cell r="A121" t="str">
            <v>E502</v>
          </cell>
          <cell r="B121" t="str">
            <v xml:space="preserve">Grupo Gerador: GEHM-150 - 139 / 150 KVA  </v>
          </cell>
          <cell r="C121" t="str">
            <v xml:space="preserve"> Diesel</v>
          </cell>
          <cell r="D121">
            <v>4.1938000000000004</v>
          </cell>
          <cell r="E121">
            <v>32.253900000000002</v>
          </cell>
        </row>
        <row r="122">
          <cell r="A122" t="str">
            <v>E503</v>
          </cell>
          <cell r="B122" t="str">
            <v xml:space="preserve">Grupo Gerador: GEHM-180 - 165 / 180 KVA  </v>
          </cell>
          <cell r="C122" t="str">
            <v xml:space="preserve"> Diesel</v>
          </cell>
          <cell r="D122">
            <v>4.1938000000000004</v>
          </cell>
          <cell r="E122">
            <v>37.573700000000002</v>
          </cell>
        </row>
        <row r="123">
          <cell r="A123" t="str">
            <v>E504</v>
          </cell>
          <cell r="B123" t="str">
            <v xml:space="preserve">Grupo Gerador: GEHV-285 - 262 / 290 KVA  </v>
          </cell>
          <cell r="C123" t="str">
            <v xml:space="preserve"> Diesel</v>
          </cell>
          <cell r="D123">
            <v>4.1938000000000004</v>
          </cell>
          <cell r="E123">
            <v>60.707599999999999</v>
          </cell>
        </row>
        <row r="124">
          <cell r="A124" t="str">
            <v>E505</v>
          </cell>
          <cell r="B124" t="str">
            <v xml:space="preserve">Grupo Gerador: GEHY-10 - 9 / 10 KVA  </v>
          </cell>
          <cell r="C124" t="str">
            <v xml:space="preserve"> Diesel</v>
          </cell>
          <cell r="D124">
            <v>4.1938000000000004</v>
          </cell>
          <cell r="E124">
            <v>7.2183000000000002</v>
          </cell>
        </row>
        <row r="125">
          <cell r="A125" t="str">
            <v>E507</v>
          </cell>
          <cell r="B125" t="str">
            <v xml:space="preserve">Grupo Gerador: GEHP-110 - 86 / 95 KVA  </v>
          </cell>
          <cell r="C125" t="str">
            <v xml:space="preserve"> Diesel</v>
          </cell>
          <cell r="D125">
            <v>4.1938000000000004</v>
          </cell>
          <cell r="E125">
            <v>25.650099999999998</v>
          </cell>
        </row>
        <row r="126">
          <cell r="A126" t="str">
            <v>E508</v>
          </cell>
          <cell r="B126" t="str">
            <v xml:space="preserve">Grupo Gerador: GEHY-3 - 2,5 / 3,0 KVA  </v>
          </cell>
          <cell r="C126" t="str">
            <v xml:space="preserve"> Diesel</v>
          </cell>
          <cell r="D126">
            <v>4.1938000000000004</v>
          </cell>
          <cell r="E126">
            <v>4.8719999999999999</v>
          </cell>
        </row>
        <row r="127">
          <cell r="A127" t="str">
            <v>E509</v>
          </cell>
          <cell r="B127" t="str">
            <v xml:space="preserve">Grupo Gerador: 25,0 KVA  </v>
          </cell>
          <cell r="C127" t="str">
            <v xml:space="preserve"> Diesel</v>
          </cell>
          <cell r="D127">
            <v>4.1938000000000004</v>
          </cell>
          <cell r="E127">
            <v>9.5383999999999993</v>
          </cell>
        </row>
        <row r="128">
          <cell r="A128" t="str">
            <v>E601</v>
          </cell>
          <cell r="B128" t="str">
            <v xml:space="preserve">Roçadeira: em trator de pneus  </v>
          </cell>
          <cell r="C128" t="str">
            <v xml:space="preserve"> Diesel</v>
          </cell>
          <cell r="D128">
            <v>4.1938000000000004</v>
          </cell>
          <cell r="E128">
            <v>27.7225</v>
          </cell>
        </row>
        <row r="129">
          <cell r="A129" t="str">
            <v>E602</v>
          </cell>
          <cell r="B129" t="str">
            <v xml:space="preserve">Roçadeira: XTA-TC145 - em micro trator  </v>
          </cell>
          <cell r="C129" t="str">
            <v xml:space="preserve"> Diesel</v>
          </cell>
          <cell r="D129">
            <v>4.1938000000000004</v>
          </cell>
          <cell r="E129">
            <v>8.9770000000000003</v>
          </cell>
        </row>
        <row r="130">
          <cell r="A130" t="str">
            <v>E603</v>
          </cell>
          <cell r="B130" t="str">
            <v xml:space="preserve">Roçadeira: FR-108 - mecânica (costal)  </v>
          </cell>
          <cell r="C130" t="str">
            <v xml:space="preserve"> Diesel</v>
          </cell>
          <cell r="D130">
            <v>3.7277999999999998</v>
          </cell>
          <cell r="E130">
            <v>6.5384000000000002</v>
          </cell>
        </row>
        <row r="131">
          <cell r="A131" t="str">
            <v>E901</v>
          </cell>
          <cell r="B131" t="str">
            <v xml:space="preserve">Campânula de Ar Comprimido: 3 m3  </v>
          </cell>
          <cell r="C131" t="str">
            <v xml:space="preserve"> Não utiliza energia</v>
          </cell>
          <cell r="D131">
            <v>0</v>
          </cell>
          <cell r="E131">
            <v>2.6981000000000002</v>
          </cell>
        </row>
        <row r="132">
          <cell r="A132" t="str">
            <v>E902</v>
          </cell>
          <cell r="B132" t="str">
            <v xml:space="preserve">Bate-Estacas: IM-750-PM - de gravidade 500 kg  </v>
          </cell>
          <cell r="C132" t="str">
            <v xml:space="preserve"> Diesel</v>
          </cell>
          <cell r="D132">
            <v>4.1938000000000004</v>
          </cell>
          <cell r="E132">
            <v>9.5035000000000007</v>
          </cell>
        </row>
        <row r="133">
          <cell r="A133" t="str">
            <v>E903</v>
          </cell>
          <cell r="B133" t="str">
            <v xml:space="preserve">Bate-Estacas: IM-1320-BS - de gravidade 3.000 kg  </v>
          </cell>
          <cell r="C133" t="str">
            <v xml:space="preserve"> Diesel</v>
          </cell>
          <cell r="D133">
            <v>4.1938000000000004</v>
          </cell>
          <cell r="E133">
            <v>51.347499999999997</v>
          </cell>
        </row>
        <row r="134">
          <cell r="A134" t="str">
            <v>E904</v>
          </cell>
          <cell r="B134" t="str">
            <v xml:space="preserve">Máquina de Bancada: serra circular de 12"  </v>
          </cell>
          <cell r="C134" t="str">
            <v xml:space="preserve"> Elétrico</v>
          </cell>
          <cell r="D134">
            <v>0</v>
          </cell>
          <cell r="E134">
            <v>0.12239999999999999</v>
          </cell>
        </row>
        <row r="135">
          <cell r="A135" t="str">
            <v>E905</v>
          </cell>
          <cell r="B135" t="str">
            <v xml:space="preserve">Máquina Manual: TU-40 - talha guincho para 4 t  </v>
          </cell>
          <cell r="C135" t="str">
            <v xml:space="preserve"> Não utiliza energia</v>
          </cell>
          <cell r="D135">
            <v>0</v>
          </cell>
          <cell r="E135">
            <v>0.27229999999999999</v>
          </cell>
        </row>
        <row r="136">
          <cell r="A136" t="str">
            <v>E906</v>
          </cell>
          <cell r="B136" t="str">
            <v xml:space="preserve">Compactador Manual: ES600 - soquete vibratório  </v>
          </cell>
          <cell r="C136" t="str">
            <v xml:space="preserve"> Gasolina</v>
          </cell>
          <cell r="D136">
            <v>3.7277999999999998</v>
          </cell>
          <cell r="E136">
            <v>6.2308000000000003</v>
          </cell>
        </row>
        <row r="137">
          <cell r="A137" t="str">
            <v>E907</v>
          </cell>
          <cell r="B137" t="str">
            <v xml:space="preserve">Conjunto Moto-Bomba: 180-SH-75 - com motor  </v>
          </cell>
          <cell r="C137" t="str">
            <v xml:space="preserve"> Gasolina</v>
          </cell>
          <cell r="D137">
            <v>0</v>
          </cell>
          <cell r="E137">
            <v>7.2904999999999998</v>
          </cell>
        </row>
        <row r="138">
          <cell r="A138" t="str">
            <v>E908</v>
          </cell>
          <cell r="B138" t="str">
            <v xml:space="preserve">Máquina para Pintura: 44 - demarcação de faixas autoprop.  </v>
          </cell>
          <cell r="C138" t="str">
            <v xml:space="preserve"> Diesel</v>
          </cell>
          <cell r="D138">
            <v>5.7469999999999999</v>
          </cell>
          <cell r="E138">
            <v>29.155100000000001</v>
          </cell>
        </row>
        <row r="139">
          <cell r="A139" t="str">
            <v>E909</v>
          </cell>
          <cell r="B139" t="str">
            <v xml:space="preserve">Equip. para Hidrosemeadura: 5.500 l  </v>
          </cell>
          <cell r="C139" t="str">
            <v xml:space="preserve"> Diesel</v>
          </cell>
          <cell r="D139">
            <v>4.9703999999999997</v>
          </cell>
          <cell r="E139">
            <v>49.0715</v>
          </cell>
        </row>
        <row r="140">
          <cell r="A140" t="str">
            <v>E910</v>
          </cell>
          <cell r="B140" t="str">
            <v xml:space="preserve">Máquina Manual: 1361 - esmerilhadeira de disco  </v>
          </cell>
          <cell r="C140" t="str">
            <v xml:space="preserve"> Elétrico</v>
          </cell>
          <cell r="D140">
            <v>0</v>
          </cell>
          <cell r="E140">
            <v>5.9499999999999997E-2</v>
          </cell>
        </row>
        <row r="141">
          <cell r="A141" t="str">
            <v>E911</v>
          </cell>
          <cell r="B141" t="str">
            <v xml:space="preserve">Tripé-Sonda: MACH 850 - Tripé-Sonda com motor  </v>
          </cell>
          <cell r="C141" t="str">
            <v xml:space="preserve"> Diesel</v>
          </cell>
          <cell r="D141">
            <v>0</v>
          </cell>
          <cell r="E141">
            <v>10.1454</v>
          </cell>
        </row>
        <row r="142">
          <cell r="A142" t="str">
            <v>E912</v>
          </cell>
          <cell r="B142" t="str">
            <v xml:space="preserve">Máquina Manual: 1184 - furadeira elétrica de Impacto  </v>
          </cell>
          <cell r="C142" t="str">
            <v xml:space="preserve"> Elétrico</v>
          </cell>
          <cell r="D142">
            <v>0</v>
          </cell>
          <cell r="E142">
            <v>2.9499999999999998E-2</v>
          </cell>
        </row>
        <row r="143">
          <cell r="A143" t="str">
            <v>E914</v>
          </cell>
          <cell r="B143" t="str">
            <v xml:space="preserve">Compactador Manual: VPY-1750 - placa vibratória c/ motor  </v>
          </cell>
          <cell r="C143" t="str">
            <v xml:space="preserve"> Diesel</v>
          </cell>
          <cell r="D143">
            <v>3.7277999999999998</v>
          </cell>
          <cell r="E143">
            <v>5.5388999999999999</v>
          </cell>
        </row>
        <row r="144">
          <cell r="A144" t="str">
            <v>E915</v>
          </cell>
          <cell r="B144" t="str">
            <v xml:space="preserve">Vassoura Mecânica: equip. varred. aspirad.  </v>
          </cell>
          <cell r="C144" t="str">
            <v xml:space="preserve"> Diesel</v>
          </cell>
          <cell r="D144">
            <v>4.9703999999999997</v>
          </cell>
          <cell r="E144">
            <v>59.407400000000003</v>
          </cell>
        </row>
        <row r="145">
          <cell r="A145" t="str">
            <v>E916</v>
          </cell>
          <cell r="B145" t="str">
            <v xml:space="preserve">Máquina Manual: moto serra nº 8  </v>
          </cell>
          <cell r="C145" t="str">
            <v xml:space="preserve"> Gasolina</v>
          </cell>
          <cell r="D145">
            <v>3.7277999999999998</v>
          </cell>
          <cell r="E145">
            <v>7.4124999999999996</v>
          </cell>
        </row>
        <row r="146">
          <cell r="A146" t="str">
            <v>E917</v>
          </cell>
          <cell r="B146" t="str">
            <v xml:space="preserve">Máquina de Bancada: C-6A universal de corte p/ chapa  </v>
          </cell>
          <cell r="C146" t="str">
            <v xml:space="preserve"> Elétrico</v>
          </cell>
          <cell r="D146">
            <v>3.7277999999999998</v>
          </cell>
          <cell r="E146">
            <v>4.8696999999999999</v>
          </cell>
        </row>
        <row r="147">
          <cell r="A147" t="str">
            <v>E918</v>
          </cell>
          <cell r="B147" t="str">
            <v xml:space="preserve">Máquina de Bancada: EB-08 - prensa excêntrica  </v>
          </cell>
          <cell r="C147" t="str">
            <v xml:space="preserve"> Elétrico</v>
          </cell>
          <cell r="D147">
            <v>0</v>
          </cell>
          <cell r="E147">
            <v>0.41660000000000003</v>
          </cell>
        </row>
        <row r="148">
          <cell r="A148" t="str">
            <v>E919</v>
          </cell>
          <cell r="B148" t="str">
            <v xml:space="preserve">Máquina de Bancada: GMN 1202 - guilhotina   8 t  </v>
          </cell>
          <cell r="C148" t="str">
            <v xml:space="preserve"> Elétrico</v>
          </cell>
          <cell r="D148">
            <v>0</v>
          </cell>
          <cell r="E148">
            <v>0.94179999999999997</v>
          </cell>
        </row>
        <row r="149">
          <cell r="A149" t="str">
            <v>E920</v>
          </cell>
          <cell r="B149" t="str">
            <v xml:space="preserve">Máquina para Pintura: FX45-HSP - de faixa a quente p/ mat. termop.  </v>
          </cell>
          <cell r="C149" t="str">
            <v xml:space="preserve"> Diesel</v>
          </cell>
          <cell r="D149">
            <v>5.7469999999999999</v>
          </cell>
          <cell r="E149">
            <v>30.822399999999998</v>
          </cell>
        </row>
        <row r="150">
          <cell r="A150" t="str">
            <v>E921</v>
          </cell>
          <cell r="B150" t="str">
            <v xml:space="preserve">Fusor: 600 l  </v>
          </cell>
          <cell r="C150" t="str">
            <v xml:space="preserve"> Diesel</v>
          </cell>
          <cell r="D150">
            <v>0</v>
          </cell>
          <cell r="E150">
            <v>13.382400000000001</v>
          </cell>
        </row>
        <row r="151">
          <cell r="A151" t="str">
            <v>E922</v>
          </cell>
          <cell r="B151" t="str">
            <v xml:space="preserve">Martelete: perfurador/ rompedor elétrico 11316  </v>
          </cell>
          <cell r="C151" t="str">
            <v xml:space="preserve"> Elétrico</v>
          </cell>
          <cell r="D151">
            <v>3.7277999999999998</v>
          </cell>
          <cell r="E151">
            <v>4.0044000000000004</v>
          </cell>
        </row>
        <row r="152">
          <cell r="A152" t="str">
            <v>E923</v>
          </cell>
          <cell r="B152" t="str">
            <v xml:space="preserve">Máquina Manual: lixadeira 1353-7"  </v>
          </cell>
          <cell r="C152" t="str">
            <v xml:space="preserve"> Elétrico</v>
          </cell>
          <cell r="D152">
            <v>0</v>
          </cell>
          <cell r="E152">
            <v>7.5899999999999995E-2</v>
          </cell>
        </row>
        <row r="153">
          <cell r="A153" t="str">
            <v>E924</v>
          </cell>
          <cell r="B153" t="str">
            <v xml:space="preserve">Equip. para Solda: Bantam 2000 - transformador solda elétr. 250 amp  </v>
          </cell>
          <cell r="C153" t="str">
            <v xml:space="preserve"> Elétrico</v>
          </cell>
          <cell r="D153">
            <v>0</v>
          </cell>
          <cell r="E153">
            <v>3.73E-2</v>
          </cell>
        </row>
        <row r="154">
          <cell r="A154" t="str">
            <v>E925</v>
          </cell>
          <cell r="B154" t="str">
            <v xml:space="preserve">Aplicador de Material Termoplástico: por extrusão  </v>
          </cell>
          <cell r="C154" t="str">
            <v xml:space="preserve"> Diesel</v>
          </cell>
          <cell r="D154">
            <v>0</v>
          </cell>
          <cell r="E154">
            <v>4.17</v>
          </cell>
        </row>
      </sheetData>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o com Desconto"/>
      <sheetName val="Fecho com Desconto (3)"/>
      <sheetName val="Fecho comparativo"/>
      <sheetName val="dados"/>
      <sheetName val="Financeiro"/>
      <sheetName val="Faturamento %"/>
      <sheetName val="Gerencial"/>
      <sheetName val="Memória Seguros"/>
      <sheetName val="gropello"/>
      <sheetName val="Economico"/>
      <sheetName val="Seguros"/>
      <sheetName val="Garantias"/>
      <sheetName val="Financ-equip"/>
      <sheetName val="Dados Básicos"/>
      <sheetName val="Financeiro Detalhado (AUXILIAR)"/>
      <sheetName val="fechamento Fase I + II - com de"/>
      <sheetName val="PRO-08"/>
    </sheetNames>
    <sheetDataSet>
      <sheetData sheetId="0"/>
      <sheetData sheetId="1"/>
      <sheetData sheetId="2"/>
      <sheetData sheetId="3">
        <row r="7">
          <cell r="C7">
            <v>15</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B1:L46"/>
  <sheetViews>
    <sheetView showGridLines="0" view="pageBreakPreview" zoomScale="90" zoomScaleSheetLayoutView="90" workbookViewId="0">
      <selection activeCell="B18" sqref="B18"/>
    </sheetView>
  </sheetViews>
  <sheetFormatPr defaultRowHeight="15" customHeight="1" x14ac:dyDescent="0.25"/>
  <cols>
    <col min="1" max="1" width="1.7109375" style="14" customWidth="1"/>
    <col min="2" max="6" width="9.7109375" style="14" customWidth="1"/>
    <col min="7" max="7" width="2.7109375" style="14" customWidth="1"/>
    <col min="8" max="12" width="9.7109375" style="14" customWidth="1"/>
    <col min="13" max="13" width="1.7109375" style="14" customWidth="1"/>
    <col min="14" max="16384" width="9.140625" style="14"/>
  </cols>
  <sheetData>
    <row r="1" spans="2:12" ht="8.1" customHeight="1" x14ac:dyDescent="0.25"/>
    <row r="2" spans="2:12" ht="15" customHeight="1" x14ac:dyDescent="0.25">
      <c r="B2" s="893" t="s">
        <v>280</v>
      </c>
      <c r="C2" s="890"/>
      <c r="D2" s="890"/>
      <c r="J2" s="890"/>
      <c r="K2" s="890"/>
      <c r="L2" s="890"/>
    </row>
    <row r="3" spans="2:12" ht="15" customHeight="1" x14ac:dyDescent="0.25">
      <c r="B3" s="890"/>
      <c r="C3" s="890"/>
      <c r="D3" s="890"/>
      <c r="J3" s="890"/>
      <c r="K3" s="890"/>
      <c r="L3" s="890"/>
    </row>
    <row r="4" spans="2:12" ht="15" customHeight="1" x14ac:dyDescent="0.25">
      <c r="B4" s="890"/>
      <c r="C4" s="890"/>
      <c r="D4" s="890"/>
      <c r="J4" s="890"/>
      <c r="K4" s="890"/>
      <c r="L4" s="890"/>
    </row>
    <row r="5" spans="2:12" ht="15" customHeight="1" x14ac:dyDescent="0.25">
      <c r="B5" s="890"/>
      <c r="C5" s="890"/>
      <c r="D5" s="890"/>
      <c r="J5" s="890"/>
      <c r="K5" s="890"/>
      <c r="L5" s="890"/>
    </row>
    <row r="17" spans="2:12" ht="50.1" customHeight="1" x14ac:dyDescent="0.25">
      <c r="B17" s="891" t="s">
        <v>433</v>
      </c>
      <c r="C17" s="891"/>
      <c r="D17" s="891"/>
      <c r="E17" s="891"/>
      <c r="F17" s="891"/>
      <c r="G17" s="891"/>
      <c r="H17" s="891"/>
      <c r="I17" s="891"/>
      <c r="J17" s="891"/>
      <c r="K17" s="891"/>
      <c r="L17" s="891"/>
    </row>
    <row r="20" spans="2:12" s="15" customFormat="1" ht="60" customHeight="1" x14ac:dyDescent="0.25">
      <c r="B20" s="892" t="s">
        <v>141</v>
      </c>
      <c r="C20" s="892"/>
      <c r="D20" s="892"/>
      <c r="E20" s="892"/>
      <c r="F20" s="892"/>
      <c r="G20" s="892"/>
      <c r="H20" s="892"/>
      <c r="I20" s="892"/>
      <c r="J20" s="892"/>
      <c r="K20" s="892"/>
      <c r="L20" s="892"/>
    </row>
    <row r="30" spans="2:12" ht="24.95" customHeight="1" x14ac:dyDescent="0.25">
      <c r="B30" s="886" t="s">
        <v>87</v>
      </c>
      <c r="C30" s="886"/>
      <c r="D30" s="886"/>
      <c r="E30" s="886"/>
      <c r="F30" s="886"/>
      <c r="G30" s="886"/>
      <c r="H30" s="886"/>
      <c r="I30" s="886"/>
      <c r="J30" s="886"/>
      <c r="K30" s="886"/>
      <c r="L30" s="886"/>
    </row>
    <row r="31" spans="2:12" ht="30" customHeight="1" x14ac:dyDescent="0.25">
      <c r="B31" s="894" t="s">
        <v>88</v>
      </c>
      <c r="C31" s="889"/>
      <c r="D31" s="889"/>
      <c r="E31" s="889"/>
      <c r="F31" s="889"/>
      <c r="G31" s="889"/>
      <c r="H31" s="889"/>
      <c r="I31" s="889"/>
      <c r="J31" s="889"/>
      <c r="K31" s="889"/>
      <c r="L31" s="889"/>
    </row>
    <row r="32" spans="2:12" ht="15" customHeight="1" x14ac:dyDescent="0.25">
      <c r="B32" s="889"/>
      <c r="C32" s="889"/>
      <c r="D32" s="889"/>
      <c r="E32" s="889"/>
      <c r="F32" s="889"/>
      <c r="G32" s="889"/>
      <c r="H32" s="889"/>
      <c r="I32" s="889"/>
      <c r="J32" s="889"/>
      <c r="K32" s="889"/>
      <c r="L32" s="889"/>
    </row>
    <row r="33" spans="2:12" ht="15" customHeight="1" x14ac:dyDescent="0.25">
      <c r="B33" s="889"/>
      <c r="C33" s="889"/>
      <c r="D33" s="889"/>
      <c r="E33" s="889"/>
      <c r="F33" s="889"/>
      <c r="G33" s="889"/>
      <c r="H33" s="889"/>
      <c r="I33" s="889"/>
      <c r="J33" s="889"/>
      <c r="K33" s="889"/>
      <c r="L33" s="889"/>
    </row>
    <row r="34" spans="2:12" ht="15" customHeight="1" x14ac:dyDescent="0.25">
      <c r="B34" s="889"/>
      <c r="C34" s="889"/>
      <c r="D34" s="889"/>
      <c r="E34" s="889"/>
      <c r="F34" s="889"/>
      <c r="G34" s="889"/>
      <c r="H34" s="889"/>
      <c r="I34" s="889"/>
      <c r="J34" s="889"/>
      <c r="K34" s="889"/>
      <c r="L34" s="889"/>
    </row>
    <row r="35" spans="2:12" ht="30" customHeight="1" x14ac:dyDescent="0.25">
      <c r="B35" s="889"/>
      <c r="C35" s="889"/>
      <c r="D35" s="889"/>
      <c r="E35" s="889"/>
      <c r="F35" s="889"/>
      <c r="G35" s="889"/>
      <c r="H35" s="889"/>
      <c r="I35" s="889"/>
      <c r="J35" s="889"/>
      <c r="K35" s="889"/>
      <c r="L35" s="889"/>
    </row>
    <row r="37" spans="2:12" s="16" customFormat="1" ht="24.95" customHeight="1" x14ac:dyDescent="0.25">
      <c r="B37" s="886" t="s">
        <v>45</v>
      </c>
      <c r="C37" s="886"/>
      <c r="D37" s="886"/>
      <c r="E37" s="886"/>
      <c r="F37" s="886"/>
      <c r="G37" s="886"/>
      <c r="H37" s="886"/>
      <c r="I37" s="886"/>
      <c r="J37" s="886"/>
      <c r="K37" s="886"/>
      <c r="L37" s="886"/>
    </row>
    <row r="38" spans="2:12" s="16" customFormat="1" ht="30" customHeight="1" x14ac:dyDescent="0.25">
      <c r="B38" s="889" t="str">
        <f>'BM DETALHADO'!C5</f>
        <v>154/2021</v>
      </c>
      <c r="C38" s="889"/>
      <c r="D38" s="889"/>
      <c r="E38" s="889"/>
      <c r="F38" s="889"/>
      <c r="G38" s="889"/>
      <c r="H38" s="889"/>
      <c r="I38" s="889"/>
      <c r="J38" s="889"/>
      <c r="K38" s="889"/>
      <c r="L38" s="889"/>
    </row>
    <row r="39" spans="2:12" ht="15" customHeight="1" x14ac:dyDescent="0.25">
      <c r="B39" s="889"/>
      <c r="C39" s="889"/>
      <c r="D39" s="889"/>
      <c r="E39" s="889"/>
      <c r="F39" s="889"/>
      <c r="G39" s="889"/>
      <c r="H39" s="889"/>
      <c r="I39" s="889"/>
      <c r="J39" s="889"/>
      <c r="K39" s="889"/>
      <c r="L39" s="889"/>
    </row>
    <row r="40" spans="2:12" ht="15" customHeight="1" x14ac:dyDescent="0.25">
      <c r="B40" s="889"/>
      <c r="C40" s="889"/>
      <c r="D40" s="889"/>
      <c r="E40" s="889"/>
      <c r="F40" s="889"/>
      <c r="G40" s="889"/>
      <c r="H40" s="889"/>
      <c r="I40" s="889"/>
      <c r="J40" s="889"/>
      <c r="K40" s="889"/>
      <c r="L40" s="889"/>
    </row>
    <row r="41" spans="2:12" ht="15" customHeight="1" x14ac:dyDescent="0.25">
      <c r="B41" s="889"/>
      <c r="C41" s="889"/>
      <c r="D41" s="889"/>
      <c r="E41" s="889"/>
      <c r="F41" s="889"/>
      <c r="G41" s="889"/>
      <c r="H41" s="889"/>
      <c r="I41" s="889"/>
      <c r="J41" s="889"/>
      <c r="K41" s="889"/>
      <c r="L41" s="889"/>
    </row>
    <row r="42" spans="2:12" ht="30" customHeight="1" x14ac:dyDescent="0.25">
      <c r="B42" s="889"/>
      <c r="C42" s="889"/>
      <c r="D42" s="889"/>
      <c r="E42" s="889"/>
      <c r="F42" s="889"/>
      <c r="G42" s="889"/>
      <c r="H42" s="889"/>
      <c r="I42" s="889"/>
      <c r="J42" s="889"/>
      <c r="K42" s="889"/>
      <c r="L42" s="889"/>
    </row>
    <row r="44" spans="2:12" s="16" customFormat="1" ht="24.95" customHeight="1" x14ac:dyDescent="0.25">
      <c r="B44" s="886" t="s">
        <v>44</v>
      </c>
      <c r="C44" s="886"/>
      <c r="D44" s="886"/>
      <c r="E44" s="886"/>
      <c r="F44" s="886"/>
      <c r="G44" s="17"/>
      <c r="H44" s="886" t="s">
        <v>46</v>
      </c>
      <c r="I44" s="886"/>
      <c r="J44" s="886"/>
      <c r="K44" s="886"/>
      <c r="L44" s="886"/>
    </row>
    <row r="45" spans="2:12" s="16" customFormat="1" ht="39.950000000000003" customHeight="1" x14ac:dyDescent="0.25">
      <c r="B45" s="887" t="str">
        <f>'BM DETALHADO'!C9</f>
        <v>MUNICÍPIO DE SANTA LUZIA/MG</v>
      </c>
      <c r="C45" s="888"/>
      <c r="D45" s="888"/>
      <c r="E45" s="888"/>
      <c r="F45" s="888"/>
      <c r="G45" s="25"/>
      <c r="H45" s="888" t="str">
        <f>'BM DETALHADO'!I6</f>
        <v>26/07/22 a 25/08/22</v>
      </c>
      <c r="I45" s="888"/>
      <c r="J45" s="888"/>
      <c r="K45" s="888"/>
      <c r="L45" s="888"/>
    </row>
    <row r="46" spans="2:12" ht="8.1" customHeight="1" x14ac:dyDescent="0.25"/>
  </sheetData>
  <mergeCells count="12">
    <mergeCell ref="J2:L5"/>
    <mergeCell ref="B37:L37"/>
    <mergeCell ref="B17:L17"/>
    <mergeCell ref="B20:L20"/>
    <mergeCell ref="B2:D5"/>
    <mergeCell ref="B30:L30"/>
    <mergeCell ref="B31:L35"/>
    <mergeCell ref="B44:F44"/>
    <mergeCell ref="B45:F45"/>
    <mergeCell ref="H44:L44"/>
    <mergeCell ref="H45:L45"/>
    <mergeCell ref="B38:L42"/>
  </mergeCells>
  <printOptions horizontalCentered="1"/>
  <pageMargins left="0.59055118110236227" right="0.39370078740157483" top="0.59055118110236227" bottom="0.39370078740157483" header="0" footer="0"/>
  <pageSetup paperSize="9" scale="89" fitToHeight="0"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tabColor rgb="FF7030A0"/>
    <pageSetUpPr fitToPage="1"/>
  </sheetPr>
  <dimension ref="B1:I27"/>
  <sheetViews>
    <sheetView showGridLines="0" view="pageBreakPreview" zoomScale="80" zoomScaleNormal="90" zoomScaleSheetLayoutView="80" workbookViewId="0">
      <pane ySplit="10" topLeftCell="A11" activePane="bottomLeft" state="frozen"/>
      <selection pane="bottomLeft" activeCell="G20" sqref="G20"/>
    </sheetView>
  </sheetViews>
  <sheetFormatPr defaultRowHeight="15" customHeight="1" x14ac:dyDescent="0.25"/>
  <cols>
    <col min="1" max="1" width="1.7109375" style="3" customWidth="1"/>
    <col min="2" max="2" width="11.7109375" style="3" customWidth="1"/>
    <col min="3" max="3" width="12.7109375" style="3" customWidth="1"/>
    <col min="4" max="4" width="66.7109375" style="3" customWidth="1"/>
    <col min="5" max="8" width="23.28515625" style="3" customWidth="1"/>
    <col min="9" max="9" width="14.7109375" style="13" customWidth="1"/>
    <col min="10" max="10" width="1.7109375" style="3" customWidth="1"/>
    <col min="11" max="16384" width="9.140625" style="3"/>
  </cols>
  <sheetData>
    <row r="1" spans="2:9" ht="8.1" customHeight="1" thickBot="1" x14ac:dyDescent="0.3">
      <c r="B1" s="1"/>
      <c r="C1" s="1"/>
      <c r="D1" s="1"/>
      <c r="E1" s="1"/>
      <c r="F1" s="1"/>
      <c r="G1" s="1"/>
      <c r="H1" s="1"/>
      <c r="I1" s="2"/>
    </row>
    <row r="2" spans="2:9" s="1" customFormat="1" ht="30" customHeight="1" x14ac:dyDescent="0.25">
      <c r="B2" s="905"/>
      <c r="C2" s="906"/>
      <c r="D2" s="895" t="s">
        <v>22</v>
      </c>
      <c r="E2" s="899" t="s">
        <v>68</v>
      </c>
      <c r="F2" s="900"/>
      <c r="G2" s="900"/>
      <c r="H2" s="901"/>
      <c r="I2" s="902"/>
    </row>
    <row r="3" spans="2:9" s="1" customFormat="1" ht="30" customHeight="1" thickBot="1" x14ac:dyDescent="0.3">
      <c r="B3" s="907"/>
      <c r="C3" s="908"/>
      <c r="D3" s="896"/>
      <c r="E3" s="897" t="s">
        <v>43</v>
      </c>
      <c r="F3" s="898"/>
      <c r="G3" s="898"/>
      <c r="H3" s="903"/>
      <c r="I3" s="904"/>
    </row>
    <row r="4" spans="2:9" ht="9.9499999999999993" customHeight="1" thickBot="1" x14ac:dyDescent="0.3">
      <c r="B4" s="1"/>
      <c r="C4" s="1"/>
      <c r="D4" s="1"/>
      <c r="E4" s="1"/>
      <c r="F4" s="1"/>
      <c r="G4" s="1"/>
      <c r="H4" s="1"/>
      <c r="I4" s="2"/>
    </row>
    <row r="5" spans="2:9" ht="18" customHeight="1" x14ac:dyDescent="0.25">
      <c r="B5" s="909" t="s">
        <v>36</v>
      </c>
      <c r="C5" s="910"/>
      <c r="D5" s="23" t="s">
        <v>20</v>
      </c>
      <c r="E5" s="916" t="s">
        <v>18</v>
      </c>
      <c r="F5" s="917"/>
      <c r="G5" s="917"/>
      <c r="H5" s="917"/>
      <c r="I5" s="918"/>
    </row>
    <row r="6" spans="2:9" ht="35.1" customHeight="1" x14ac:dyDescent="0.3">
      <c r="B6" s="911" t="str">
        <f>'BM DETALHADO'!C5</f>
        <v>154/2021</v>
      </c>
      <c r="C6" s="912"/>
      <c r="D6" s="928" t="str">
        <f>'BM DETALHADO'!C6</f>
        <v>RESTAURARE CONSTRUTORA LTDA</v>
      </c>
      <c r="E6" s="919" t="str">
        <f>'BM DETALHADO'!C7</f>
        <v>Execução da primeira etapa (reforço estrutural) da obra de restauração do Museu Histórico Aurélio Dolabella, também conhecido como Solar Teixeira da Costa</v>
      </c>
      <c r="F6" s="920"/>
      <c r="G6" s="920"/>
      <c r="H6" s="920"/>
      <c r="I6" s="921"/>
    </row>
    <row r="7" spans="2:9" ht="18" customHeight="1" x14ac:dyDescent="0.25">
      <c r="B7" s="913" t="s">
        <v>37</v>
      </c>
      <c r="C7" s="914"/>
      <c r="D7" s="928"/>
      <c r="E7" s="924" t="s">
        <v>38</v>
      </c>
      <c r="F7" s="914"/>
      <c r="G7" s="24" t="s">
        <v>85</v>
      </c>
      <c r="H7" s="924" t="s">
        <v>21</v>
      </c>
      <c r="I7" s="925"/>
    </row>
    <row r="8" spans="2:9" ht="24.95" customHeight="1" thickBot="1" x14ac:dyDescent="0.3">
      <c r="B8" s="915">
        <f>'BM DETALHADO'!I7</f>
        <v>44739</v>
      </c>
      <c r="C8" s="912"/>
      <c r="D8" s="929"/>
      <c r="E8" s="926" t="str">
        <f>'BM DETALHADO'!C9</f>
        <v>MUNICÍPIO DE SANTA LUZIA/MG</v>
      </c>
      <c r="F8" s="927"/>
      <c r="G8" s="4">
        <f>'BM DETALHADO'!I5</f>
        <v>10</v>
      </c>
      <c r="H8" s="922" t="str">
        <f>'BM DETALHADO'!I6</f>
        <v>26/07/22 a 25/08/22</v>
      </c>
      <c r="I8" s="923"/>
    </row>
    <row r="9" spans="2:9" ht="9.9499999999999993" customHeight="1" thickBot="1" x14ac:dyDescent="0.3">
      <c r="B9" s="5"/>
      <c r="C9" s="5"/>
      <c r="D9" s="5"/>
      <c r="E9" s="5"/>
      <c r="F9" s="5"/>
      <c r="G9" s="5"/>
      <c r="H9" s="5"/>
      <c r="I9" s="6"/>
    </row>
    <row r="10" spans="2:9" ht="39.950000000000003" customHeight="1" x14ac:dyDescent="0.25">
      <c r="B10" s="7" t="s">
        <v>34</v>
      </c>
      <c r="C10" s="930" t="s">
        <v>35</v>
      </c>
      <c r="D10" s="931"/>
      <c r="E10" s="8" t="s">
        <v>39</v>
      </c>
      <c r="F10" s="8" t="s">
        <v>40</v>
      </c>
      <c r="G10" s="8" t="s">
        <v>41</v>
      </c>
      <c r="H10" s="8" t="s">
        <v>42</v>
      </c>
      <c r="I10" s="9" t="s">
        <v>23</v>
      </c>
    </row>
    <row r="11" spans="2:9" ht="24.95" customHeight="1" x14ac:dyDescent="0.25">
      <c r="B11" s="10" t="str">
        <f>'BM DETALHADO'!B13</f>
        <v>1</v>
      </c>
      <c r="C11" s="935" t="str">
        <f>'BM DETALHADO'!C13</f>
        <v>SERVIÇOS PRELIMINARES</v>
      </c>
      <c r="D11" s="936"/>
      <c r="E11" s="11">
        <f>'BM DETALHADO'!G13</f>
        <v>361243.29917382577</v>
      </c>
      <c r="F11" s="11">
        <f>SUM('BM DETALHADO'!I14:I43)</f>
        <v>3637.14</v>
      </c>
      <c r="G11" s="11">
        <f>SUM('BM DETALHADO'!K14:K43)</f>
        <v>278544.65999999997</v>
      </c>
      <c r="H11" s="11">
        <f>'BM DETALHADO'!M13</f>
        <v>46413.49</v>
      </c>
      <c r="I11" s="86">
        <f>ROUND(G11/E11,4)</f>
        <v>0.77110000000000001</v>
      </c>
    </row>
    <row r="12" spans="2:9" ht="24.95" customHeight="1" x14ac:dyDescent="0.25">
      <c r="B12" s="10" t="str">
        <f>'BM DETALHADO'!B49</f>
        <v>2</v>
      </c>
      <c r="C12" s="935" t="str">
        <f>'BM DETALHADO'!C49</f>
        <v>REMOÇÕES</v>
      </c>
      <c r="D12" s="936"/>
      <c r="E12" s="11">
        <f>'BM DETALHADO'!G49</f>
        <v>168018.1336726</v>
      </c>
      <c r="F12" s="11">
        <f>'BM DETALHADO'!I49</f>
        <v>2251.4700000000003</v>
      </c>
      <c r="G12" s="11">
        <f>'BM DETALHADO'!K49</f>
        <v>59705.38</v>
      </c>
      <c r="H12" s="11">
        <f>'BM DETALHADO'!M49</f>
        <v>108312.77</v>
      </c>
      <c r="I12" s="86">
        <f t="shared" ref="I12:I19" si="0">ROUND(G12/E12,4)</f>
        <v>0.35539999999999999</v>
      </c>
    </row>
    <row r="13" spans="2:9" ht="24.75" customHeight="1" x14ac:dyDescent="0.25">
      <c r="B13" s="10" t="str">
        <f>'BM DETALHADO'!B65</f>
        <v>3</v>
      </c>
      <c r="C13" s="935" t="str">
        <f>'BM DETALHADO'!C65</f>
        <v>ACESSÓRIOS , COBERTURA PROVISÓRIA, ESCADA DE SERVIÇO</v>
      </c>
      <c r="D13" s="936"/>
      <c r="E13" s="11">
        <f>'BM DETALHADO'!G65</f>
        <v>226330.95660809998</v>
      </c>
      <c r="F13" s="11">
        <f>SUM('BM DETALHADO'!I66:I79)</f>
        <v>0</v>
      </c>
      <c r="G13" s="11">
        <f>SUM('BM DETALHADO'!K66:K79)</f>
        <v>133375.79</v>
      </c>
      <c r="H13" s="11">
        <f>'BM DETALHADO'!M65</f>
        <v>92955.19</v>
      </c>
      <c r="I13" s="86">
        <f t="shared" si="0"/>
        <v>0.58930000000000005</v>
      </c>
    </row>
    <row r="14" spans="2:9" ht="24.95" customHeight="1" x14ac:dyDescent="0.25">
      <c r="B14" s="10" t="str">
        <f>'BM DETALHADO'!B80</f>
        <v>4</v>
      </c>
      <c r="C14" s="935" t="str">
        <f>'BM DETALHADO'!C80</f>
        <v xml:space="preserve">MOVIMENTO DE TERRAS </v>
      </c>
      <c r="D14" s="936"/>
      <c r="E14" s="11">
        <f>'BM DETALHADO'!G80</f>
        <v>5550.3404</v>
      </c>
      <c r="F14" s="11">
        <f>SUM('BM DETALHADO'!I81:I84)</f>
        <v>0</v>
      </c>
      <c r="G14" s="11">
        <f>SUM('BM DETALHADO'!K81:K84)</f>
        <v>5550.34</v>
      </c>
      <c r="H14" s="11">
        <f>'BM DETALHADO'!M80</f>
        <v>0</v>
      </c>
      <c r="I14" s="86">
        <f t="shared" si="0"/>
        <v>1</v>
      </c>
    </row>
    <row r="15" spans="2:9" ht="24.95" customHeight="1" x14ac:dyDescent="0.25">
      <c r="B15" s="10" t="str">
        <f>'BM DETALHADO'!B85</f>
        <v>5</v>
      </c>
      <c r="C15" s="935" t="str">
        <f>'BM DETALHADO'!C85</f>
        <v xml:space="preserve">INFRA-ESTRUTURA: FUNDAÇÕES </v>
      </c>
      <c r="D15" s="936"/>
      <c r="E15" s="11">
        <f>'BM DETALHADO'!G85</f>
        <v>27950.6269641488</v>
      </c>
      <c r="F15" s="11">
        <f>SUM('BM DETALHADO'!I86:I95)</f>
        <v>1386.7800000000002</v>
      </c>
      <c r="G15" s="11">
        <f>SUM('BM DETALHADO'!K86:K95)</f>
        <v>18310.789999999997</v>
      </c>
      <c r="H15" s="11">
        <f>'BM DETALHADO'!M85</f>
        <v>9639.84</v>
      </c>
      <c r="I15" s="86">
        <f t="shared" si="0"/>
        <v>0.65510000000000002</v>
      </c>
    </row>
    <row r="16" spans="2:9" ht="24.95" customHeight="1" x14ac:dyDescent="0.25">
      <c r="B16" s="10" t="str">
        <f>'BM DETALHADO'!B96</f>
        <v>6</v>
      </c>
      <c r="C16" s="935" t="str">
        <f>'BM DETALHADO'!C96</f>
        <v xml:space="preserve">ESTRUTURAL ESTEIOS E ESCADA </v>
      </c>
      <c r="D16" s="936"/>
      <c r="E16" s="11">
        <f>'BM DETALHADO'!G96</f>
        <v>582902.42161840003</v>
      </c>
      <c r="F16" s="11">
        <f>SUM('BM DETALHADO'!I97:I110)</f>
        <v>18292.11</v>
      </c>
      <c r="G16" s="11">
        <f>SUM('BM DETALHADO'!K97:K110)</f>
        <v>255010.93</v>
      </c>
      <c r="H16" s="11">
        <f>'BM DETALHADO'!M96</f>
        <v>327891.49</v>
      </c>
      <c r="I16" s="86">
        <f t="shared" si="0"/>
        <v>0.4375</v>
      </c>
    </row>
    <row r="17" spans="2:9" ht="45" customHeight="1" x14ac:dyDescent="0.25">
      <c r="B17" s="10" t="str">
        <f>'BM DETALHADO'!B111</f>
        <v>7</v>
      </c>
      <c r="C17" s="935" t="str">
        <f>'BM DETALHADO'!C111</f>
        <v>TABUADOS E ACESSÓRIOS DE MADEIRA PARA ESTRUTURA DEFINITIVA DO TELHADO</v>
      </c>
      <c r="D17" s="936"/>
      <c r="E17" s="11">
        <f>'BM DETALHADO'!G111</f>
        <v>370932.2584103219</v>
      </c>
      <c r="F17" s="11">
        <f>SUM('BM DETALHADO'!I112:I117)</f>
        <v>0</v>
      </c>
      <c r="G17" s="11">
        <f>SUM('BM DETALHADO'!K112:K117)</f>
        <v>39482.409999999996</v>
      </c>
      <c r="H17" s="11">
        <f>'BM DETALHADO'!M111</f>
        <v>331449.84999999998</v>
      </c>
      <c r="I17" s="86">
        <f t="shared" si="0"/>
        <v>0.10639999999999999</v>
      </c>
    </row>
    <row r="18" spans="2:9" ht="24.95" customHeight="1" x14ac:dyDescent="0.25">
      <c r="B18" s="10" t="str">
        <f>'BM DETALHADO'!B118</f>
        <v>8</v>
      </c>
      <c r="C18" s="935" t="str">
        <f>'BM DETALHADO'!C118</f>
        <v>ACOMPANHAMENTO TÉCNICO E ARTÍSTICO</v>
      </c>
      <c r="D18" s="936"/>
      <c r="E18" s="11">
        <f>'BM DETALHADO'!G118</f>
        <v>346194.11333311332</v>
      </c>
      <c r="F18" s="11">
        <f>SUM('BM DETALHADO'!I119:I124)</f>
        <v>0</v>
      </c>
      <c r="G18" s="11">
        <f>SUM('BM DETALHADO'!K119:K124)</f>
        <v>301758.73</v>
      </c>
      <c r="H18" s="11">
        <f>'BM DETALHADO'!M118</f>
        <v>44435.38</v>
      </c>
      <c r="I18" s="86">
        <f t="shared" si="0"/>
        <v>0.87160000000000004</v>
      </c>
    </row>
    <row r="19" spans="2:9" ht="24.95" customHeight="1" thickBot="1" x14ac:dyDescent="0.3">
      <c r="B19" s="10" t="str">
        <f>'BM DETALHADO'!B125</f>
        <v>9</v>
      </c>
      <c r="C19" s="935" t="str">
        <f>'BM DETALHADO'!C125</f>
        <v>ADMINISTRAÇÃO LOCAL</v>
      </c>
      <c r="D19" s="936"/>
      <c r="E19" s="11">
        <f>'BM DETALHADO'!G125</f>
        <v>108044.05</v>
      </c>
      <c r="F19" s="11">
        <f>SUM('BM DETALHADO'!I126:I126)</f>
        <v>1080.44</v>
      </c>
      <c r="G19" s="11">
        <f>'[24]BM GERAL'!$G$19+F19</f>
        <v>8643.5220000000008</v>
      </c>
      <c r="H19" s="11">
        <f>'BM DETALHADO'!M125</f>
        <v>62665.55</v>
      </c>
      <c r="I19" s="86">
        <f t="shared" si="0"/>
        <v>0.08</v>
      </c>
    </row>
    <row r="20" spans="2:9" ht="39.950000000000003" customHeight="1" thickBot="1" x14ac:dyDescent="0.3">
      <c r="B20" s="932" t="s">
        <v>19</v>
      </c>
      <c r="C20" s="933"/>
      <c r="D20" s="934"/>
      <c r="E20" s="12">
        <f>ROUND(SUM(E11:E19),2)</f>
        <v>2197166.2000000002</v>
      </c>
      <c r="F20" s="12">
        <f>ROUND(SUM(F11:F19),2)</f>
        <v>26647.94</v>
      </c>
      <c r="G20" s="12">
        <f>ROUND(SUM(G11:G19),2)</f>
        <v>1100382.55</v>
      </c>
      <c r="H20" s="12">
        <f>ROUND(SUM(H11:H19),2)</f>
        <v>1023763.56</v>
      </c>
      <c r="I20" s="87">
        <f>ROUND(G20/E20,4)</f>
        <v>0.50080000000000002</v>
      </c>
    </row>
    <row r="21" spans="2:9" ht="8.1" customHeight="1" x14ac:dyDescent="0.25"/>
    <row r="27" spans="2:9" ht="8.1" customHeight="1" x14ac:dyDescent="0.25"/>
  </sheetData>
  <mergeCells count="27">
    <mergeCell ref="C10:D10"/>
    <mergeCell ref="B20:D20"/>
    <mergeCell ref="C11:D11"/>
    <mergeCell ref="C12:D12"/>
    <mergeCell ref="C13:D13"/>
    <mergeCell ref="C14:D14"/>
    <mergeCell ref="C15:D15"/>
    <mergeCell ref="C16:D16"/>
    <mergeCell ref="C17:D17"/>
    <mergeCell ref="C18:D18"/>
    <mergeCell ref="C19:D19"/>
    <mergeCell ref="B5:C5"/>
    <mergeCell ref="B6:C6"/>
    <mergeCell ref="B7:C7"/>
    <mergeCell ref="B8:C8"/>
    <mergeCell ref="E5:I5"/>
    <mergeCell ref="E6:I6"/>
    <mergeCell ref="H8:I8"/>
    <mergeCell ref="H7:I7"/>
    <mergeCell ref="E7:F7"/>
    <mergeCell ref="E8:F8"/>
    <mergeCell ref="D6:D8"/>
    <mergeCell ref="D2:D3"/>
    <mergeCell ref="E3:G3"/>
    <mergeCell ref="E2:G2"/>
    <mergeCell ref="H2:I3"/>
    <mergeCell ref="B2:C3"/>
  </mergeCells>
  <printOptions horizontalCentered="1"/>
  <pageMargins left="0.39370078740157483" right="0.39370078740157483" top="0.59055118110236227" bottom="1.3779527559055118" header="0" footer="0.39370078740157483"/>
  <pageSetup paperSize="9" scale="68"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9">
    <tabColor rgb="FF7030A0"/>
    <outlinePr summaryBelow="0"/>
    <pageSetUpPr fitToPage="1"/>
  </sheetPr>
  <dimension ref="B1:S130"/>
  <sheetViews>
    <sheetView showGridLines="0" tabSelected="1" view="pageBreakPreview" zoomScale="80" zoomScaleNormal="80" zoomScaleSheetLayoutView="80" workbookViewId="0">
      <pane ySplit="12" topLeftCell="A13" activePane="bottomLeft" state="frozen"/>
      <selection pane="bottomLeft" activeCell="I8" sqref="I8:J9"/>
    </sheetView>
  </sheetViews>
  <sheetFormatPr defaultRowHeight="14.25" outlineLevelRow="1" x14ac:dyDescent="0.25"/>
  <cols>
    <col min="1" max="1" width="1.7109375" style="32" customWidth="1"/>
    <col min="2" max="2" width="13.7109375" style="40" customWidth="1"/>
    <col min="3" max="3" width="65.7109375" style="41" customWidth="1"/>
    <col min="4" max="4" width="8.7109375" style="42" customWidth="1"/>
    <col min="5" max="5" width="12.7109375" style="43" customWidth="1"/>
    <col min="6" max="7" width="14.7109375" style="44" customWidth="1"/>
    <col min="8" max="8" width="12.7109375" style="43" customWidth="1"/>
    <col min="9" max="9" width="14.7109375" style="44" customWidth="1"/>
    <col min="10" max="10" width="12.7109375" style="43" customWidth="1"/>
    <col min="11" max="11" width="14.7109375" style="44" customWidth="1"/>
    <col min="12" max="12" width="12.7109375" style="43" customWidth="1"/>
    <col min="13" max="13" width="19.28515625" style="44" bestFit="1" customWidth="1"/>
    <col min="14" max="14" width="12.7109375" style="32" customWidth="1"/>
    <col min="15" max="15" width="1.7109375" style="32" customWidth="1"/>
    <col min="16" max="16" width="14.28515625" style="32" bestFit="1" customWidth="1"/>
    <col min="17" max="17" width="5.5703125" style="32" bestFit="1" customWidth="1"/>
    <col min="18" max="18" width="9.140625" style="32"/>
    <col min="19" max="19" width="15.5703125" style="32" bestFit="1" customWidth="1"/>
    <col min="20" max="16384" width="9.140625" style="32"/>
  </cols>
  <sheetData>
    <row r="1" spans="2:17" ht="8.1" customHeight="1" thickBot="1" x14ac:dyDescent="0.3">
      <c r="B1" s="999"/>
      <c r="C1" s="999"/>
      <c r="D1" s="999"/>
      <c r="E1" s="999"/>
      <c r="F1" s="999"/>
      <c r="G1" s="999"/>
      <c r="H1" s="999"/>
      <c r="I1" s="999"/>
      <c r="J1" s="999"/>
      <c r="K1" s="999"/>
      <c r="L1" s="999"/>
      <c r="M1" s="999"/>
      <c r="N1" s="999"/>
    </row>
    <row r="2" spans="2:17" ht="30" customHeight="1" x14ac:dyDescent="0.25">
      <c r="B2" s="967"/>
      <c r="C2" s="975" t="s">
        <v>86</v>
      </c>
      <c r="D2" s="976"/>
      <c r="E2" s="976"/>
      <c r="F2" s="977"/>
      <c r="G2" s="899" t="s">
        <v>68</v>
      </c>
      <c r="H2" s="980"/>
      <c r="I2" s="980"/>
      <c r="J2" s="980"/>
      <c r="K2" s="981"/>
      <c r="L2" s="984"/>
      <c r="M2" s="985"/>
      <c r="N2" s="986"/>
    </row>
    <row r="3" spans="2:17" ht="30" customHeight="1" thickBot="1" x14ac:dyDescent="0.3">
      <c r="B3" s="968"/>
      <c r="C3" s="978"/>
      <c r="D3" s="978"/>
      <c r="E3" s="978"/>
      <c r="F3" s="979"/>
      <c r="G3" s="897" t="s">
        <v>43</v>
      </c>
      <c r="H3" s="982"/>
      <c r="I3" s="982"/>
      <c r="J3" s="982"/>
      <c r="K3" s="983"/>
      <c r="L3" s="987"/>
      <c r="M3" s="988"/>
      <c r="N3" s="989"/>
    </row>
    <row r="4" spans="2:17" s="34" customFormat="1" ht="9.9499999999999993" customHeight="1" thickBot="1" x14ac:dyDescent="0.3">
      <c r="B4" s="33"/>
      <c r="C4" s="33"/>
      <c r="D4" s="33"/>
      <c r="E4" s="33"/>
      <c r="F4" s="33"/>
      <c r="G4" s="33"/>
      <c r="H4" s="33"/>
      <c r="I4" s="33"/>
      <c r="J4" s="33"/>
      <c r="K4" s="33"/>
      <c r="L4" s="33"/>
      <c r="M4" s="33"/>
      <c r="N4" s="33"/>
    </row>
    <row r="5" spans="2:17" s="34" customFormat="1" ht="20.100000000000001" customHeight="1" x14ac:dyDescent="0.25">
      <c r="B5" s="35" t="s">
        <v>36</v>
      </c>
      <c r="C5" s="72" t="s">
        <v>282</v>
      </c>
      <c r="D5" s="1015" t="s">
        <v>79</v>
      </c>
      <c r="E5" s="1016"/>
      <c r="F5" s="973">
        <v>44524</v>
      </c>
      <c r="G5" s="974"/>
      <c r="H5" s="36" t="s">
        <v>85</v>
      </c>
      <c r="I5" s="971">
        <v>10</v>
      </c>
      <c r="J5" s="972"/>
      <c r="K5" s="994" t="s">
        <v>76</v>
      </c>
      <c r="L5" s="995"/>
      <c r="M5" s="990">
        <v>2160881.0315845441</v>
      </c>
      <c r="N5" s="991"/>
    </row>
    <row r="6" spans="2:17" ht="20.100000000000001" customHeight="1" x14ac:dyDescent="0.25">
      <c r="B6" s="37" t="s">
        <v>20</v>
      </c>
      <c r="C6" s="73" t="s">
        <v>281</v>
      </c>
      <c r="D6" s="951" t="s">
        <v>82</v>
      </c>
      <c r="E6" s="952"/>
      <c r="F6" s="75">
        <v>273</v>
      </c>
      <c r="G6" s="76" t="s">
        <v>73</v>
      </c>
      <c r="H6" s="38" t="s">
        <v>21</v>
      </c>
      <c r="I6" s="969" t="s">
        <v>432</v>
      </c>
      <c r="J6" s="970"/>
      <c r="K6" s="996" t="s">
        <v>74</v>
      </c>
      <c r="L6" s="997"/>
      <c r="M6" s="992">
        <f>SUM(G44:G48)</f>
        <v>36285.168595965792</v>
      </c>
      <c r="N6" s="993"/>
    </row>
    <row r="7" spans="2:17" ht="20.100000000000001" customHeight="1" x14ac:dyDescent="0.25">
      <c r="B7" s="953" t="s">
        <v>18</v>
      </c>
      <c r="C7" s="949" t="s">
        <v>283</v>
      </c>
      <c r="D7" s="951" t="s">
        <v>80</v>
      </c>
      <c r="E7" s="952"/>
      <c r="F7" s="75">
        <v>0</v>
      </c>
      <c r="G7" s="76" t="s">
        <v>73</v>
      </c>
      <c r="H7" s="38" t="s">
        <v>37</v>
      </c>
      <c r="I7" s="955">
        <v>44739</v>
      </c>
      <c r="J7" s="956"/>
      <c r="K7" s="996" t="s">
        <v>77</v>
      </c>
      <c r="L7" s="997"/>
      <c r="M7" s="940">
        <f>M5+M6</f>
        <v>2197166.2001805101</v>
      </c>
      <c r="N7" s="941"/>
    </row>
    <row r="8" spans="2:17" ht="20.100000000000001" customHeight="1" x14ac:dyDescent="0.25">
      <c r="B8" s="953"/>
      <c r="C8" s="950"/>
      <c r="D8" s="953" t="s">
        <v>81</v>
      </c>
      <c r="E8" s="954"/>
      <c r="F8" s="963">
        <f>F5+F6+F7-1</f>
        <v>44796</v>
      </c>
      <c r="G8" s="964"/>
      <c r="H8" s="957" t="s">
        <v>84</v>
      </c>
      <c r="I8" s="959">
        <f>H127</f>
        <v>26647.94</v>
      </c>
      <c r="J8" s="960"/>
      <c r="K8" s="1013" t="s">
        <v>75</v>
      </c>
      <c r="L8" s="1014"/>
      <c r="M8" s="940">
        <f>J127</f>
        <v>1233108.08</v>
      </c>
      <c r="N8" s="941"/>
    </row>
    <row r="9" spans="2:17" ht="20.100000000000001" customHeight="1" thickBot="1" x14ac:dyDescent="0.3">
      <c r="B9" s="39" t="s">
        <v>72</v>
      </c>
      <c r="C9" s="74" t="s">
        <v>47</v>
      </c>
      <c r="D9" s="944" t="s">
        <v>83</v>
      </c>
      <c r="E9" s="945"/>
      <c r="F9" s="965">
        <f>F8</f>
        <v>44796</v>
      </c>
      <c r="G9" s="966"/>
      <c r="H9" s="958"/>
      <c r="I9" s="961"/>
      <c r="J9" s="962"/>
      <c r="K9" s="942" t="s">
        <v>78</v>
      </c>
      <c r="L9" s="943"/>
      <c r="M9" s="1000">
        <f>L127</f>
        <v>1023763.56</v>
      </c>
      <c r="N9" s="1001"/>
    </row>
    <row r="10" spans="2:17" ht="9.9499999999999993" customHeight="1" thickBot="1" x14ac:dyDescent="0.3"/>
    <row r="11" spans="2:17" s="42" customFormat="1" ht="20.100000000000001" customHeight="1" x14ac:dyDescent="0.25">
      <c r="B11" s="1002" t="s">
        <v>34</v>
      </c>
      <c r="C11" s="1004" t="s">
        <v>35</v>
      </c>
      <c r="D11" s="1006" t="s">
        <v>0</v>
      </c>
      <c r="E11" s="1002" t="s">
        <v>1</v>
      </c>
      <c r="F11" s="1004"/>
      <c r="G11" s="1010"/>
      <c r="H11" s="1011" t="s">
        <v>2</v>
      </c>
      <c r="I11" s="1012"/>
      <c r="J11" s="1011" t="s">
        <v>3</v>
      </c>
      <c r="K11" s="1012"/>
      <c r="L11" s="1011" t="s">
        <v>5</v>
      </c>
      <c r="M11" s="1012"/>
      <c r="N11" s="1008" t="s">
        <v>23</v>
      </c>
    </row>
    <row r="12" spans="2:17" s="42" customFormat="1" ht="35.1" customHeight="1" x14ac:dyDescent="0.25">
      <c r="B12" s="1003"/>
      <c r="C12" s="1005"/>
      <c r="D12" s="1007"/>
      <c r="E12" s="45" t="s">
        <v>4</v>
      </c>
      <c r="F12" s="46" t="s">
        <v>71</v>
      </c>
      <c r="G12" s="47" t="s">
        <v>69</v>
      </c>
      <c r="H12" s="45" t="s">
        <v>4</v>
      </c>
      <c r="I12" s="47" t="s">
        <v>70</v>
      </c>
      <c r="J12" s="45" t="s">
        <v>4</v>
      </c>
      <c r="K12" s="47" t="s">
        <v>70</v>
      </c>
      <c r="L12" s="45" t="s">
        <v>4</v>
      </c>
      <c r="M12" s="47" t="s">
        <v>70</v>
      </c>
      <c r="N12" s="1009"/>
      <c r="P12" s="998" t="s">
        <v>92</v>
      </c>
      <c r="Q12" s="998"/>
    </row>
    <row r="13" spans="2:17" s="51" customFormat="1" ht="15" customHeight="1" x14ac:dyDescent="0.25">
      <c r="B13" s="48" t="s">
        <v>24</v>
      </c>
      <c r="C13" s="49" t="s">
        <v>93</v>
      </c>
      <c r="D13" s="50"/>
      <c r="E13" s="104"/>
      <c r="F13" s="105"/>
      <c r="G13" s="106">
        <f>SUM(G14:G48)</f>
        <v>361243.29917382577</v>
      </c>
      <c r="H13" s="107"/>
      <c r="I13" s="106">
        <f>SUM(I14:I48)</f>
        <v>3637.14</v>
      </c>
      <c r="J13" s="107"/>
      <c r="K13" s="106">
        <f>ROUND(SUBTOTAL(9,K14:K43),2)</f>
        <v>278544.65999999997</v>
      </c>
      <c r="L13" s="107"/>
      <c r="M13" s="106">
        <f>ROUND(SUBTOTAL(9,M14:M43),2)</f>
        <v>46413.49</v>
      </c>
      <c r="N13" s="130"/>
      <c r="P13" s="90">
        <f>K13+M13</f>
        <v>324958.14999999997</v>
      </c>
      <c r="Q13" s="90">
        <f>P13-G13</f>
        <v>-36285.149173825805</v>
      </c>
    </row>
    <row r="14" spans="2:17" ht="74.099999999999994" customHeight="1" outlineLevel="1" x14ac:dyDescent="0.25">
      <c r="B14" s="52" t="s">
        <v>6</v>
      </c>
      <c r="C14" s="53" t="s">
        <v>101</v>
      </c>
      <c r="D14" s="54" t="s">
        <v>67</v>
      </c>
      <c r="E14" s="108">
        <v>1</v>
      </c>
      <c r="F14" s="109">
        <v>1356.9675999999999</v>
      </c>
      <c r="G14" s="110">
        <f>E14*F14</f>
        <v>1356.9675999999999</v>
      </c>
      <c r="H14" s="111"/>
      <c r="I14" s="110">
        <f>ROUND(H14*F14,2)</f>
        <v>0</v>
      </c>
      <c r="J14" s="111">
        <f>1+H14</f>
        <v>1</v>
      </c>
      <c r="K14" s="110">
        <f>ROUND(J14*F14,2)</f>
        <v>1356.97</v>
      </c>
      <c r="L14" s="108">
        <f>E14-J14</f>
        <v>0</v>
      </c>
      <c r="M14" s="110">
        <f>L14*F14</f>
        <v>0</v>
      </c>
      <c r="N14" s="131">
        <f>ROUND(J14/E14,4)</f>
        <v>1</v>
      </c>
      <c r="P14" s="90">
        <f t="shared" ref="P14:P79" si="0">K14+M14</f>
        <v>1356.97</v>
      </c>
      <c r="Q14" s="90">
        <f t="shared" ref="Q14:Q79" si="1">P14-G14</f>
        <v>2.4000000000796717E-3</v>
      </c>
    </row>
    <row r="15" spans="2:17" ht="15" outlineLevel="1" x14ac:dyDescent="0.25">
      <c r="B15" s="65" t="s">
        <v>7</v>
      </c>
      <c r="C15" s="70" t="s">
        <v>102</v>
      </c>
      <c r="D15" s="71"/>
      <c r="E15" s="127"/>
      <c r="F15" s="128"/>
      <c r="G15" s="166"/>
      <c r="H15" s="124"/>
      <c r="I15" s="126"/>
      <c r="J15" s="124">
        <v>0</v>
      </c>
      <c r="K15" s="126"/>
      <c r="L15" s="124"/>
      <c r="M15" s="126"/>
      <c r="N15" s="134"/>
      <c r="P15" s="90">
        <f t="shared" si="0"/>
        <v>0</v>
      </c>
      <c r="Q15" s="90">
        <f t="shared" si="1"/>
        <v>0</v>
      </c>
    </row>
    <row r="16" spans="2:17" ht="28.5" outlineLevel="1" x14ac:dyDescent="0.25">
      <c r="B16" s="55" t="s">
        <v>8</v>
      </c>
      <c r="C16" s="56" t="s">
        <v>103</v>
      </c>
      <c r="D16" s="57" t="s">
        <v>65</v>
      </c>
      <c r="E16" s="112">
        <v>159</v>
      </c>
      <c r="F16" s="113">
        <v>77.572497999999996</v>
      </c>
      <c r="G16" s="114">
        <f>E16*F16</f>
        <v>12334.027182</v>
      </c>
      <c r="H16" s="141">
        <f>ROUND(VLOOKUP(B16,'MEMÓRIA DE CÁLCULO'!$C$8:$P$1924,13,FALSE),2)</f>
        <v>0</v>
      </c>
      <c r="I16" s="114">
        <f t="shared" ref="I16:I18" si="2">ROUND(H16*F16,2)</f>
        <v>0</v>
      </c>
      <c r="J16" s="115">
        <f>158.77+H16</f>
        <v>158.77000000000001</v>
      </c>
      <c r="K16" s="114">
        <f t="shared" ref="K16:K18" si="3">ROUND(J16*F16,2)</f>
        <v>12316.19</v>
      </c>
      <c r="L16" s="115">
        <f>E16-J16</f>
        <v>0.22999999999998977</v>
      </c>
      <c r="M16" s="114">
        <f>L16*F16</f>
        <v>17.841674539999204</v>
      </c>
      <c r="N16" s="132">
        <f t="shared" ref="N16:N52" si="4">ROUND(J16/E16,4)</f>
        <v>0.99860000000000004</v>
      </c>
      <c r="P16" s="90">
        <f t="shared" si="0"/>
        <v>12334.03167454</v>
      </c>
      <c r="Q16" s="90">
        <f t="shared" si="1"/>
        <v>4.4925399997737259E-3</v>
      </c>
    </row>
    <row r="17" spans="2:17" s="143" customFormat="1" ht="15" outlineLevel="1" x14ac:dyDescent="0.25">
      <c r="B17" s="135" t="s">
        <v>9</v>
      </c>
      <c r="C17" s="136" t="s">
        <v>104</v>
      </c>
      <c r="D17" s="137" t="s">
        <v>65</v>
      </c>
      <c r="E17" s="138">
        <v>60</v>
      </c>
      <c r="F17" s="139">
        <v>21.187309999999997</v>
      </c>
      <c r="G17" s="114">
        <f t="shared" ref="G17:G23" si="5">E17*F17</f>
        <v>1271.2385999999997</v>
      </c>
      <c r="H17" s="141">
        <f>ROUND(VLOOKUP(B17,'MEMÓRIA DE CÁLCULO'!$C$8:$P$1924,13,FALSE),2)</f>
        <v>0</v>
      </c>
      <c r="I17" s="140">
        <f t="shared" si="2"/>
        <v>0</v>
      </c>
      <c r="J17" s="115">
        <f>60+H17</f>
        <v>60</v>
      </c>
      <c r="K17" s="140">
        <f t="shared" si="3"/>
        <v>1271.24</v>
      </c>
      <c r="L17" s="115">
        <f t="shared" ref="L17:L26" si="6">E17-J17</f>
        <v>0</v>
      </c>
      <c r="M17" s="114">
        <f t="shared" ref="M17:M26" si="7">L17*F17</f>
        <v>0</v>
      </c>
      <c r="N17" s="142">
        <f t="shared" si="4"/>
        <v>1</v>
      </c>
      <c r="P17" s="144">
        <f t="shared" si="0"/>
        <v>1271.24</v>
      </c>
      <c r="Q17" s="144">
        <f t="shared" si="1"/>
        <v>1.4000000003306923E-3</v>
      </c>
    </row>
    <row r="18" spans="2:17" s="143" customFormat="1" ht="15" outlineLevel="1" x14ac:dyDescent="0.25">
      <c r="B18" s="135" t="s">
        <v>10</v>
      </c>
      <c r="C18" s="136" t="s">
        <v>105</v>
      </c>
      <c r="D18" s="137" t="s">
        <v>106</v>
      </c>
      <c r="E18" s="138">
        <v>6</v>
      </c>
      <c r="F18" s="139">
        <v>82.054899999999989</v>
      </c>
      <c r="G18" s="114">
        <f t="shared" si="5"/>
        <v>492.32939999999996</v>
      </c>
      <c r="H18" s="141">
        <f>ROUND(VLOOKUP(B18,'MEMÓRIA DE CÁLCULO'!$C$8:$P$1924,13,FALSE),2)</f>
        <v>0</v>
      </c>
      <c r="I18" s="140">
        <f t="shared" si="2"/>
        <v>0</v>
      </c>
      <c r="J18" s="115">
        <f>6+H18</f>
        <v>6</v>
      </c>
      <c r="K18" s="140">
        <f t="shared" si="3"/>
        <v>492.33</v>
      </c>
      <c r="L18" s="115">
        <f t="shared" si="6"/>
        <v>0</v>
      </c>
      <c r="M18" s="114">
        <f t="shared" si="7"/>
        <v>0</v>
      </c>
      <c r="N18" s="142">
        <f t="shared" si="4"/>
        <v>1</v>
      </c>
      <c r="P18" s="144">
        <f t="shared" si="0"/>
        <v>492.33</v>
      </c>
      <c r="Q18" s="144">
        <f t="shared" si="1"/>
        <v>6.0000000001991793E-4</v>
      </c>
    </row>
    <row r="19" spans="2:17" s="143" customFormat="1" ht="28.5" customHeight="1" outlineLevel="1" x14ac:dyDescent="0.25">
      <c r="B19" s="135" t="s">
        <v>11</v>
      </c>
      <c r="C19" s="136" t="s">
        <v>107</v>
      </c>
      <c r="D19" s="137" t="s">
        <v>63</v>
      </c>
      <c r="E19" s="138">
        <v>667.80000000000007</v>
      </c>
      <c r="F19" s="139">
        <v>24.579728999999997</v>
      </c>
      <c r="G19" s="114">
        <f t="shared" si="5"/>
        <v>16414.3430262</v>
      </c>
      <c r="H19" s="141">
        <f>ROUND(VLOOKUP(B19,'MEMÓRIA DE CÁLCULO'!$C$8:$P$1924,13,FALSE),2)</f>
        <v>0</v>
      </c>
      <c r="I19" s="140">
        <f t="shared" ref="I19:I26" si="8">ROUND(H19*F19,2)</f>
        <v>0</v>
      </c>
      <c r="J19" s="115">
        <f>555.7+H19</f>
        <v>555.70000000000005</v>
      </c>
      <c r="K19" s="140">
        <f t="shared" ref="K19:K26" si="9">ROUND(J19*F19,2)</f>
        <v>13658.96</v>
      </c>
      <c r="L19" s="115">
        <f t="shared" si="6"/>
        <v>112.10000000000002</v>
      </c>
      <c r="M19" s="114">
        <f t="shared" si="7"/>
        <v>2755.3876209</v>
      </c>
      <c r="N19" s="142">
        <f t="shared" si="4"/>
        <v>0.83209999999999995</v>
      </c>
      <c r="P19" s="144"/>
      <c r="Q19" s="144"/>
    </row>
    <row r="20" spans="2:17" s="143" customFormat="1" ht="28.5" outlineLevel="1" x14ac:dyDescent="0.25">
      <c r="B20" s="135" t="s">
        <v>12</v>
      </c>
      <c r="C20" s="136" t="s">
        <v>108</v>
      </c>
      <c r="D20" s="137" t="s">
        <v>67</v>
      </c>
      <c r="E20" s="138">
        <v>1</v>
      </c>
      <c r="F20" s="139">
        <v>651.98129199999994</v>
      </c>
      <c r="G20" s="114">
        <f t="shared" si="5"/>
        <v>651.98129199999994</v>
      </c>
      <c r="H20" s="141">
        <f>ROUND(VLOOKUP(B20,'MEMÓRIA DE CÁLCULO'!$C$8:$P$1924,13,FALSE),2)</f>
        <v>0</v>
      </c>
      <c r="I20" s="140">
        <f t="shared" si="8"/>
        <v>0</v>
      </c>
      <c r="J20" s="115">
        <f>1+H20</f>
        <v>1</v>
      </c>
      <c r="K20" s="140">
        <f t="shared" si="9"/>
        <v>651.98</v>
      </c>
      <c r="L20" s="115">
        <f t="shared" si="6"/>
        <v>0</v>
      </c>
      <c r="M20" s="114">
        <f t="shared" si="7"/>
        <v>0</v>
      </c>
      <c r="N20" s="142">
        <f t="shared" si="4"/>
        <v>1</v>
      </c>
      <c r="P20" s="144"/>
      <c r="Q20" s="144"/>
    </row>
    <row r="21" spans="2:17" s="143" customFormat="1" ht="42.75" outlineLevel="1" x14ac:dyDescent="0.25">
      <c r="B21" s="135" t="s">
        <v>13</v>
      </c>
      <c r="C21" s="136" t="s">
        <v>109</v>
      </c>
      <c r="D21" s="137" t="s">
        <v>110</v>
      </c>
      <c r="E21" s="138">
        <v>12</v>
      </c>
      <c r="F21" s="139">
        <v>927.09789999999987</v>
      </c>
      <c r="G21" s="114">
        <f t="shared" si="5"/>
        <v>11125.174799999999</v>
      </c>
      <c r="H21" s="141">
        <f>ROUND(VLOOKUP(B21,'MEMÓRIA DE CÁLCULO'!$C$8:$P$1924,13,FALSE),2)</f>
        <v>0</v>
      </c>
      <c r="I21" s="140">
        <f t="shared" si="8"/>
        <v>0</v>
      </c>
      <c r="J21" s="115">
        <v>0</v>
      </c>
      <c r="K21" s="140">
        <f t="shared" si="9"/>
        <v>0</v>
      </c>
      <c r="L21" s="115">
        <f t="shared" si="6"/>
        <v>12</v>
      </c>
      <c r="M21" s="114">
        <f t="shared" si="7"/>
        <v>11125.174799999999</v>
      </c>
      <c r="N21" s="142">
        <f t="shared" si="4"/>
        <v>0</v>
      </c>
      <c r="P21" s="144"/>
      <c r="Q21" s="144"/>
    </row>
    <row r="22" spans="2:17" s="143" customFormat="1" ht="28.5" outlineLevel="1" x14ac:dyDescent="0.25">
      <c r="B22" s="135" t="s">
        <v>14</v>
      </c>
      <c r="C22" s="136" t="s">
        <v>111</v>
      </c>
      <c r="D22" s="137" t="s">
        <v>110</v>
      </c>
      <c r="E22" s="138">
        <v>6</v>
      </c>
      <c r="F22" s="139">
        <v>749.51639999999998</v>
      </c>
      <c r="G22" s="114">
        <f t="shared" si="5"/>
        <v>4497.0983999999999</v>
      </c>
      <c r="H22" s="141">
        <f>ROUND(VLOOKUP(B22,'MEMÓRIA DE CÁLCULO'!$C$8:$P$1924,13,FALSE),2)</f>
        <v>0</v>
      </c>
      <c r="I22" s="140">
        <f t="shared" si="8"/>
        <v>0</v>
      </c>
      <c r="J22" s="115">
        <v>0</v>
      </c>
      <c r="K22" s="140">
        <f>ROUND(J22*F22,2)</f>
        <v>0</v>
      </c>
      <c r="L22" s="115">
        <f t="shared" si="6"/>
        <v>6</v>
      </c>
      <c r="M22" s="114">
        <f t="shared" si="7"/>
        <v>4497.0983999999999</v>
      </c>
      <c r="N22" s="142">
        <f t="shared" si="4"/>
        <v>0</v>
      </c>
      <c r="P22" s="144"/>
      <c r="Q22" s="144"/>
    </row>
    <row r="23" spans="2:17" s="143" customFormat="1" ht="28.5" outlineLevel="1" x14ac:dyDescent="0.25">
      <c r="B23" s="135" t="s">
        <v>15</v>
      </c>
      <c r="C23" s="136" t="s">
        <v>112</v>
      </c>
      <c r="D23" s="137" t="s">
        <v>110</v>
      </c>
      <c r="E23" s="138">
        <v>6</v>
      </c>
      <c r="F23" s="139">
        <v>679.70849999999996</v>
      </c>
      <c r="G23" s="114">
        <f t="shared" si="5"/>
        <v>4078.2509999999997</v>
      </c>
      <c r="H23" s="141">
        <f>ROUND(VLOOKUP(B23,'MEMÓRIA DE CÁLCULO'!$C$8:$P$1924,13,FALSE),2)</f>
        <v>0</v>
      </c>
      <c r="I23" s="140">
        <f t="shared" si="8"/>
        <v>0</v>
      </c>
      <c r="J23" s="115">
        <v>0</v>
      </c>
      <c r="K23" s="140">
        <f t="shared" si="9"/>
        <v>0</v>
      </c>
      <c r="L23" s="115">
        <f t="shared" si="6"/>
        <v>6</v>
      </c>
      <c r="M23" s="114">
        <f t="shared" si="7"/>
        <v>4078.2509999999997</v>
      </c>
      <c r="N23" s="142">
        <f t="shared" si="4"/>
        <v>0</v>
      </c>
      <c r="P23" s="144"/>
      <c r="Q23" s="144"/>
    </row>
    <row r="24" spans="2:17" s="143" customFormat="1" ht="128.25" outlineLevel="1" x14ac:dyDescent="0.25">
      <c r="B24" s="135" t="s">
        <v>48</v>
      </c>
      <c r="C24" s="136" t="s">
        <v>113</v>
      </c>
      <c r="D24" s="137" t="s">
        <v>110</v>
      </c>
      <c r="E24" s="138">
        <v>6</v>
      </c>
      <c r="F24" s="139">
        <v>886.68279999999982</v>
      </c>
      <c r="G24" s="114">
        <f>E24*F24</f>
        <v>5320.0967999999993</v>
      </c>
      <c r="H24" s="141">
        <f>ROUND(VLOOKUP(B24,'MEMÓRIA DE CÁLCULO'!$C$8:$P$1924,13,FALSE),2)</f>
        <v>0</v>
      </c>
      <c r="I24" s="140">
        <f t="shared" si="8"/>
        <v>0</v>
      </c>
      <c r="J24" s="115">
        <v>0</v>
      </c>
      <c r="K24" s="140">
        <f t="shared" si="9"/>
        <v>0</v>
      </c>
      <c r="L24" s="115">
        <f t="shared" si="6"/>
        <v>6</v>
      </c>
      <c r="M24" s="114">
        <f t="shared" si="7"/>
        <v>5320.0967999999993</v>
      </c>
      <c r="N24" s="142">
        <f t="shared" si="4"/>
        <v>0</v>
      </c>
      <c r="P24" s="144"/>
      <c r="Q24" s="144"/>
    </row>
    <row r="25" spans="2:17" s="143" customFormat="1" ht="42.75" outlineLevel="1" x14ac:dyDescent="0.25">
      <c r="B25" s="135" t="s">
        <v>49</v>
      </c>
      <c r="C25" s="136" t="s">
        <v>114</v>
      </c>
      <c r="D25" s="137" t="s">
        <v>64</v>
      </c>
      <c r="E25" s="138">
        <v>5</v>
      </c>
      <c r="F25" s="139">
        <v>827.89719999999988</v>
      </c>
      <c r="G25" s="114">
        <f t="shared" ref="G25:G26" si="10">E25*F25</f>
        <v>4139.485999999999</v>
      </c>
      <c r="H25" s="141">
        <f>ROUND(VLOOKUP(B25,'MEMÓRIA DE CÁLCULO'!$C$8:$P$1924,13,FALSE),2)</f>
        <v>0</v>
      </c>
      <c r="I25" s="140">
        <f t="shared" si="8"/>
        <v>0</v>
      </c>
      <c r="J25" s="115">
        <v>0</v>
      </c>
      <c r="K25" s="140">
        <f t="shared" si="9"/>
        <v>0</v>
      </c>
      <c r="L25" s="115">
        <f t="shared" si="6"/>
        <v>5</v>
      </c>
      <c r="M25" s="114">
        <f t="shared" si="7"/>
        <v>4139.485999999999</v>
      </c>
      <c r="N25" s="142">
        <f t="shared" si="4"/>
        <v>0</v>
      </c>
      <c r="P25" s="144"/>
      <c r="Q25" s="144"/>
    </row>
    <row r="26" spans="2:17" s="143" customFormat="1" ht="15" outlineLevel="1" x14ac:dyDescent="0.25">
      <c r="B26" s="135" t="s">
        <v>50</v>
      </c>
      <c r="C26" s="136" t="s">
        <v>115</v>
      </c>
      <c r="D26" s="137" t="s">
        <v>64</v>
      </c>
      <c r="E26" s="138">
        <v>6</v>
      </c>
      <c r="F26" s="139">
        <v>500.28994999999992</v>
      </c>
      <c r="G26" s="114">
        <f t="shared" si="10"/>
        <v>3001.7396999999996</v>
      </c>
      <c r="H26" s="141">
        <f>ROUND(VLOOKUP(B26,'MEMÓRIA DE CÁLCULO'!$C$8:$P$1924,13,FALSE),2)</f>
        <v>0</v>
      </c>
      <c r="I26" s="140">
        <f t="shared" si="8"/>
        <v>0</v>
      </c>
      <c r="J26" s="115">
        <f>6+H26</f>
        <v>6</v>
      </c>
      <c r="K26" s="140">
        <f t="shared" si="9"/>
        <v>3001.74</v>
      </c>
      <c r="L26" s="115">
        <f t="shared" si="6"/>
        <v>0</v>
      </c>
      <c r="M26" s="114">
        <f t="shared" si="7"/>
        <v>0</v>
      </c>
      <c r="N26" s="142">
        <f t="shared" si="4"/>
        <v>1</v>
      </c>
      <c r="P26" s="144"/>
      <c r="Q26" s="144"/>
    </row>
    <row r="27" spans="2:17" s="143" customFormat="1" ht="15" outlineLevel="1" x14ac:dyDescent="0.25">
      <c r="B27" s="65" t="s">
        <v>51</v>
      </c>
      <c r="C27" s="70" t="s">
        <v>116</v>
      </c>
      <c r="D27" s="71"/>
      <c r="E27" s="127"/>
      <c r="F27" s="128"/>
      <c r="G27" s="126"/>
      <c r="H27" s="124"/>
      <c r="I27" s="126"/>
      <c r="J27" s="124">
        <v>0</v>
      </c>
      <c r="K27" s="126"/>
      <c r="L27" s="124"/>
      <c r="M27" s="126"/>
      <c r="N27" s="134"/>
      <c r="P27" s="144"/>
      <c r="Q27" s="144"/>
    </row>
    <row r="28" spans="2:17" s="143" customFormat="1" ht="15" outlineLevel="1" x14ac:dyDescent="0.25">
      <c r="B28" s="135" t="s">
        <v>52</v>
      </c>
      <c r="C28" s="136" t="s">
        <v>117</v>
      </c>
      <c r="D28" s="137" t="s">
        <v>118</v>
      </c>
      <c r="E28" s="138">
        <v>6882</v>
      </c>
      <c r="F28" s="139">
        <v>3.6741000000000001</v>
      </c>
      <c r="G28" s="114">
        <f t="shared" ref="G28:G35" si="11">E28*F28</f>
        <v>25285.156200000001</v>
      </c>
      <c r="H28" s="141">
        <f>ROUND(VLOOKUP(B28,'MEMÓRIA DE CÁLCULO'!$C$8:$P$1924,13,FALSE),2)</f>
        <v>764.67</v>
      </c>
      <c r="I28" s="140">
        <f t="shared" ref="I28" si="12">ROUND(H28*F28,2)</f>
        <v>2809.47</v>
      </c>
      <c r="J28" s="115">
        <f>5352.67+H28</f>
        <v>6117.34</v>
      </c>
      <c r="K28" s="140">
        <f t="shared" ref="K28" si="13">ROUND(J28*F28,2)</f>
        <v>22475.72</v>
      </c>
      <c r="L28" s="115">
        <f t="shared" ref="L28:L35" si="14">E28-J28</f>
        <v>764.65999999999985</v>
      </c>
      <c r="M28" s="114">
        <f t="shared" ref="M28:M35" si="15">L28*F28</f>
        <v>2809.4373059999994</v>
      </c>
      <c r="N28" s="132">
        <f t="shared" si="4"/>
        <v>0.88890000000000002</v>
      </c>
      <c r="P28" s="144"/>
      <c r="Q28" s="144"/>
    </row>
    <row r="29" spans="2:17" s="143" customFormat="1" ht="15" customHeight="1" outlineLevel="1" x14ac:dyDescent="0.25">
      <c r="B29" s="135" t="s">
        <v>53</v>
      </c>
      <c r="C29" s="136" t="s">
        <v>119</v>
      </c>
      <c r="D29" s="137" t="s">
        <v>63</v>
      </c>
      <c r="E29" s="138">
        <v>1147</v>
      </c>
      <c r="F29" s="139">
        <v>6.1234999999999991</v>
      </c>
      <c r="G29" s="114">
        <f t="shared" si="11"/>
        <v>7023.6544999999987</v>
      </c>
      <c r="H29" s="141">
        <f>ROUND(VLOOKUP(B29,'MEMÓRIA DE CÁLCULO'!$C$8:$P$1924,13,FALSE),2)</f>
        <v>8.69</v>
      </c>
      <c r="I29" s="140">
        <f t="shared" ref="I29:I35" si="16">ROUND(H29*F29,2)</f>
        <v>53.21</v>
      </c>
      <c r="J29" s="115">
        <f>1010.86+H29</f>
        <v>1019.5500000000001</v>
      </c>
      <c r="K29" s="140">
        <f t="shared" ref="K29:K35" si="17">ROUND(J29*F29,2)</f>
        <v>6243.21</v>
      </c>
      <c r="L29" s="115">
        <f t="shared" si="14"/>
        <v>127.44999999999993</v>
      </c>
      <c r="M29" s="114">
        <f t="shared" si="15"/>
        <v>780.44007499999941</v>
      </c>
      <c r="N29" s="132">
        <f t="shared" si="4"/>
        <v>0.88890000000000002</v>
      </c>
      <c r="P29" s="144"/>
      <c r="Q29" s="144"/>
    </row>
    <row r="30" spans="2:17" s="143" customFormat="1" ht="15" outlineLevel="1" x14ac:dyDescent="0.25">
      <c r="B30" s="135" t="s">
        <v>54</v>
      </c>
      <c r="C30" s="136" t="s">
        <v>120</v>
      </c>
      <c r="D30" s="137" t="s">
        <v>63</v>
      </c>
      <c r="E30" s="138">
        <v>1147</v>
      </c>
      <c r="F30" s="139">
        <v>2.167719</v>
      </c>
      <c r="G30" s="114">
        <f t="shared" si="11"/>
        <v>2486.373693</v>
      </c>
      <c r="H30" s="141">
        <f>ROUND(VLOOKUP(B30,'MEMÓRIA DE CÁLCULO'!$C$8:$P$1924,13,FALSE),2)</f>
        <v>0</v>
      </c>
      <c r="I30" s="140">
        <f t="shared" si="16"/>
        <v>0</v>
      </c>
      <c r="J30" s="115">
        <f>1019.86+H30</f>
        <v>1019.86</v>
      </c>
      <c r="K30" s="140">
        <f t="shared" si="17"/>
        <v>2210.77</v>
      </c>
      <c r="L30" s="115">
        <f t="shared" si="14"/>
        <v>127.13999999999999</v>
      </c>
      <c r="M30" s="114">
        <f t="shared" si="15"/>
        <v>275.60379365999995</v>
      </c>
      <c r="N30" s="132">
        <f t="shared" si="4"/>
        <v>0.88919999999999999</v>
      </c>
      <c r="P30" s="144"/>
      <c r="Q30" s="144"/>
    </row>
    <row r="31" spans="2:17" s="143" customFormat="1" ht="15" outlineLevel="1" x14ac:dyDescent="0.25">
      <c r="B31" s="135" t="s">
        <v>55</v>
      </c>
      <c r="C31" s="136" t="s">
        <v>121</v>
      </c>
      <c r="D31" s="137" t="s">
        <v>63</v>
      </c>
      <c r="E31" s="138">
        <v>1147</v>
      </c>
      <c r="F31" s="139">
        <v>2.167719</v>
      </c>
      <c r="G31" s="114">
        <f t="shared" si="11"/>
        <v>2486.373693</v>
      </c>
      <c r="H31" s="141">
        <f>ROUND(VLOOKUP(B31,'MEMÓRIA DE CÁLCULO'!$C$8:$P$1924,13,FALSE),2)</f>
        <v>127.44</v>
      </c>
      <c r="I31" s="140">
        <f t="shared" si="16"/>
        <v>276.25</v>
      </c>
      <c r="J31" s="115">
        <f>764.66+H31</f>
        <v>892.09999999999991</v>
      </c>
      <c r="K31" s="140">
        <f t="shared" si="17"/>
        <v>1933.82</v>
      </c>
      <c r="L31" s="115">
        <f t="shared" si="14"/>
        <v>254.90000000000009</v>
      </c>
      <c r="M31" s="114">
        <f t="shared" si="15"/>
        <v>552.55157310000016</v>
      </c>
      <c r="N31" s="132">
        <f t="shared" si="4"/>
        <v>0.77780000000000005</v>
      </c>
      <c r="P31" s="144"/>
      <c r="Q31" s="144"/>
    </row>
    <row r="32" spans="2:17" s="143" customFormat="1" ht="15" outlineLevel="1" x14ac:dyDescent="0.25">
      <c r="B32" s="135" t="s">
        <v>56</v>
      </c>
      <c r="C32" s="136" t="s">
        <v>122</v>
      </c>
      <c r="D32" s="137" t="s">
        <v>64</v>
      </c>
      <c r="E32" s="138">
        <v>1</v>
      </c>
      <c r="F32" s="139">
        <v>404.15099999999995</v>
      </c>
      <c r="G32" s="114">
        <f t="shared" si="11"/>
        <v>404.15099999999995</v>
      </c>
      <c r="H32" s="141"/>
      <c r="I32" s="140">
        <f t="shared" si="16"/>
        <v>0</v>
      </c>
      <c r="J32" s="115">
        <f>1+H32</f>
        <v>1</v>
      </c>
      <c r="K32" s="140">
        <f t="shared" si="17"/>
        <v>404.15</v>
      </c>
      <c r="L32" s="115">
        <f t="shared" si="14"/>
        <v>0</v>
      </c>
      <c r="M32" s="114">
        <f t="shared" si="15"/>
        <v>0</v>
      </c>
      <c r="N32" s="132">
        <f t="shared" si="4"/>
        <v>1</v>
      </c>
      <c r="P32" s="144"/>
      <c r="Q32" s="144"/>
    </row>
    <row r="33" spans="2:17" s="143" customFormat="1" ht="42.75" customHeight="1" outlineLevel="1" x14ac:dyDescent="0.25">
      <c r="B33" s="135" t="s">
        <v>57</v>
      </c>
      <c r="C33" s="136" t="s">
        <v>123</v>
      </c>
      <c r="D33" s="137" t="s">
        <v>124</v>
      </c>
      <c r="E33" s="138">
        <v>1200</v>
      </c>
      <c r="F33" s="139">
        <v>7.8258329999999994</v>
      </c>
      <c r="G33" s="114">
        <f t="shared" si="11"/>
        <v>9390.9995999999992</v>
      </c>
      <c r="H33" s="141">
        <f>ROUND(VLOOKUP(B33,'MEMÓRIA DE CÁLCULO'!$C$8:$P$1924,13,FALSE),2)</f>
        <v>0</v>
      </c>
      <c r="I33" s="140">
        <f t="shared" si="16"/>
        <v>0</v>
      </c>
      <c r="J33" s="115">
        <f>1084.2+H33</f>
        <v>1084.2</v>
      </c>
      <c r="K33" s="140">
        <f t="shared" si="17"/>
        <v>8484.77</v>
      </c>
      <c r="L33" s="115">
        <f t="shared" si="14"/>
        <v>115.79999999999995</v>
      </c>
      <c r="M33" s="114">
        <f t="shared" si="15"/>
        <v>906.2314613999996</v>
      </c>
      <c r="N33" s="132">
        <f t="shared" si="4"/>
        <v>0.90349999999999997</v>
      </c>
      <c r="P33" s="144"/>
      <c r="Q33" s="144"/>
    </row>
    <row r="34" spans="2:17" s="143" customFormat="1" ht="42.75" customHeight="1" outlineLevel="1" x14ac:dyDescent="0.25">
      <c r="B34" s="135" t="s">
        <v>58</v>
      </c>
      <c r="C34" s="136" t="s">
        <v>125</v>
      </c>
      <c r="D34" s="137" t="s">
        <v>63</v>
      </c>
      <c r="E34" s="138">
        <v>100</v>
      </c>
      <c r="F34" s="139">
        <v>551.11500000000001</v>
      </c>
      <c r="G34" s="114">
        <f t="shared" si="11"/>
        <v>55111.5</v>
      </c>
      <c r="H34" s="141">
        <f>ROUND(VLOOKUP(B34,'MEMÓRIA DE CÁLCULO'!$C$8:$P$1924,13,FALSE),2)</f>
        <v>0</v>
      </c>
      <c r="I34" s="140">
        <f t="shared" si="16"/>
        <v>0</v>
      </c>
      <c r="J34" s="115">
        <f>100+H34</f>
        <v>100</v>
      </c>
      <c r="K34" s="140">
        <f t="shared" si="17"/>
        <v>55111.5</v>
      </c>
      <c r="L34" s="115">
        <f t="shared" si="14"/>
        <v>0</v>
      </c>
      <c r="M34" s="114">
        <f t="shared" si="15"/>
        <v>0</v>
      </c>
      <c r="N34" s="132">
        <f t="shared" si="4"/>
        <v>1</v>
      </c>
      <c r="P34" s="144"/>
      <c r="Q34" s="144"/>
    </row>
    <row r="35" spans="2:17" s="143" customFormat="1" ht="15" outlineLevel="1" x14ac:dyDescent="0.25">
      <c r="B35" s="135" t="s">
        <v>59</v>
      </c>
      <c r="C35" s="136" t="s">
        <v>126</v>
      </c>
      <c r="D35" s="137" t="s">
        <v>127</v>
      </c>
      <c r="E35" s="138">
        <v>4320</v>
      </c>
      <c r="F35" s="139">
        <v>16.839624999999998</v>
      </c>
      <c r="G35" s="114">
        <f t="shared" si="11"/>
        <v>72747.179999999993</v>
      </c>
      <c r="H35" s="141">
        <f>ROUND(VLOOKUP(B35,'MEMÓRIA DE CÁLCULO'!$C$8:$P$1924,13,FALSE),2)</f>
        <v>0</v>
      </c>
      <c r="I35" s="140">
        <f t="shared" si="16"/>
        <v>0</v>
      </c>
      <c r="J35" s="115">
        <f>4104+H35</f>
        <v>4104</v>
      </c>
      <c r="K35" s="140">
        <f t="shared" si="17"/>
        <v>69109.820000000007</v>
      </c>
      <c r="L35" s="115">
        <f t="shared" si="14"/>
        <v>216</v>
      </c>
      <c r="M35" s="114">
        <f t="shared" si="15"/>
        <v>3637.3589999999995</v>
      </c>
      <c r="N35" s="132">
        <f t="shared" si="4"/>
        <v>0.95</v>
      </c>
      <c r="P35" s="144"/>
      <c r="Q35" s="144"/>
    </row>
    <row r="36" spans="2:17" s="143" customFormat="1" ht="15" outlineLevel="1" x14ac:dyDescent="0.25">
      <c r="B36" s="65" t="s">
        <v>60</v>
      </c>
      <c r="C36" s="70" t="s">
        <v>128</v>
      </c>
      <c r="D36" s="71"/>
      <c r="E36" s="127"/>
      <c r="F36" s="128"/>
      <c r="G36" s="126"/>
      <c r="H36" s="124"/>
      <c r="I36" s="126"/>
      <c r="J36" s="124">
        <v>0</v>
      </c>
      <c r="K36" s="126"/>
      <c r="L36" s="124"/>
      <c r="M36" s="126"/>
      <c r="N36" s="134"/>
      <c r="P36" s="144"/>
      <c r="Q36" s="144"/>
    </row>
    <row r="37" spans="2:17" s="143" customFormat="1" ht="15" outlineLevel="1" x14ac:dyDescent="0.25">
      <c r="B37" s="135" t="s">
        <v>61</v>
      </c>
      <c r="C37" s="136" t="s">
        <v>129</v>
      </c>
      <c r="D37" s="137" t="s">
        <v>63</v>
      </c>
      <c r="E37" s="138">
        <v>200</v>
      </c>
      <c r="F37" s="139">
        <v>118.06107999999999</v>
      </c>
      <c r="G37" s="114">
        <f t="shared" ref="G37:G79" si="18">E37*F37</f>
        <v>23612.215999999997</v>
      </c>
      <c r="H37" s="141">
        <f>ROUND(VLOOKUP(B37,'MEMÓRIA DE CÁLCULO'!$C$8:$P$1924,13,FALSE),2)</f>
        <v>0</v>
      </c>
      <c r="I37" s="140">
        <f t="shared" ref="I37" si="19">ROUND(H37*F37,2)</f>
        <v>0</v>
      </c>
      <c r="J37" s="115">
        <f>200+H37</f>
        <v>200</v>
      </c>
      <c r="K37" s="140">
        <f t="shared" ref="K37" si="20">ROUND(J37*F37,2)</f>
        <v>23612.22</v>
      </c>
      <c r="L37" s="115">
        <f t="shared" ref="L37:L48" si="21">E37-J37</f>
        <v>0</v>
      </c>
      <c r="M37" s="114">
        <f t="shared" ref="M37:M79" si="22">L37*F37</f>
        <v>0</v>
      </c>
      <c r="N37" s="132">
        <f t="shared" si="4"/>
        <v>1</v>
      </c>
      <c r="P37" s="144"/>
      <c r="Q37" s="144"/>
    </row>
    <row r="38" spans="2:17" s="143" customFormat="1" ht="15" outlineLevel="1" x14ac:dyDescent="0.25">
      <c r="B38" s="135" t="s">
        <v>62</v>
      </c>
      <c r="C38" s="136" t="s">
        <v>130</v>
      </c>
      <c r="D38" s="137" t="s">
        <v>63</v>
      </c>
      <c r="E38" s="138">
        <v>162.54</v>
      </c>
      <c r="F38" s="139">
        <v>82.14062899999999</v>
      </c>
      <c r="G38" s="114">
        <f t="shared" si="18"/>
        <v>13351.137837659997</v>
      </c>
      <c r="H38" s="141"/>
      <c r="I38" s="140">
        <f t="shared" ref="I38:I42" si="23">ROUND(H38*F38,2)</f>
        <v>0</v>
      </c>
      <c r="J38" s="115">
        <f>138.62+H38</f>
        <v>138.62</v>
      </c>
      <c r="K38" s="140">
        <f t="shared" ref="K38:K48" si="24">ROUND(J38*F38,2)</f>
        <v>11386.33</v>
      </c>
      <c r="L38" s="115">
        <f t="shared" si="21"/>
        <v>23.919999999999987</v>
      </c>
      <c r="M38" s="114">
        <f t="shared" si="22"/>
        <v>1964.8038456799986</v>
      </c>
      <c r="N38" s="132">
        <f t="shared" si="4"/>
        <v>0.8528</v>
      </c>
      <c r="P38" s="144"/>
      <c r="Q38" s="144"/>
    </row>
    <row r="39" spans="2:17" ht="28.5" customHeight="1" outlineLevel="1" x14ac:dyDescent="0.25">
      <c r="B39" s="55" t="s">
        <v>131</v>
      </c>
      <c r="C39" s="56" t="s">
        <v>132</v>
      </c>
      <c r="D39" s="57" t="s">
        <v>106</v>
      </c>
      <c r="E39" s="112">
        <v>1</v>
      </c>
      <c r="F39" s="113">
        <v>263.31049999999999</v>
      </c>
      <c r="G39" s="114">
        <f t="shared" si="18"/>
        <v>263.31049999999999</v>
      </c>
      <c r="H39" s="141">
        <f>ROUND(VLOOKUP(B39,'MEMÓRIA DE CÁLCULO'!$C$8:$P$1924,13,FALSE),2)</f>
        <v>0</v>
      </c>
      <c r="I39" s="140">
        <f t="shared" si="23"/>
        <v>0</v>
      </c>
      <c r="J39" s="115">
        <f>1+H39</f>
        <v>1</v>
      </c>
      <c r="K39" s="140">
        <f t="shared" si="24"/>
        <v>263.31</v>
      </c>
      <c r="L39" s="115">
        <f t="shared" si="21"/>
        <v>0</v>
      </c>
      <c r="M39" s="114">
        <f t="shared" si="22"/>
        <v>0</v>
      </c>
      <c r="N39" s="132">
        <f t="shared" si="4"/>
        <v>1</v>
      </c>
      <c r="P39" s="90">
        <f t="shared" si="0"/>
        <v>263.31</v>
      </c>
      <c r="Q39" s="90">
        <f t="shared" si="1"/>
        <v>-4.9999999998817657E-4</v>
      </c>
    </row>
    <row r="40" spans="2:17" s="143" customFormat="1" ht="28.5" customHeight="1" outlineLevel="1" x14ac:dyDescent="0.25">
      <c r="B40" s="135" t="s">
        <v>142</v>
      </c>
      <c r="C40" s="136" t="s">
        <v>133</v>
      </c>
      <c r="D40" s="137">
        <v>0</v>
      </c>
      <c r="E40" s="138">
        <v>6</v>
      </c>
      <c r="F40" s="139">
        <v>144.5146</v>
      </c>
      <c r="G40" s="114">
        <f t="shared" si="18"/>
        <v>867.08760000000007</v>
      </c>
      <c r="H40" s="141">
        <f>ROUND(VLOOKUP(B40,'MEMÓRIA DE CÁLCULO'!$C$8:$P$1924,13,FALSE),2)</f>
        <v>0</v>
      </c>
      <c r="I40" s="140">
        <f t="shared" si="23"/>
        <v>0</v>
      </c>
      <c r="J40" s="115">
        <f>6+H40</f>
        <v>6</v>
      </c>
      <c r="K40" s="140">
        <f t="shared" si="24"/>
        <v>867.09</v>
      </c>
      <c r="L40" s="115">
        <f t="shared" si="21"/>
        <v>0</v>
      </c>
      <c r="M40" s="114">
        <f t="shared" si="22"/>
        <v>0</v>
      </c>
      <c r="N40" s="132">
        <f t="shared" si="4"/>
        <v>1</v>
      </c>
      <c r="P40" s="144">
        <f t="shared" si="0"/>
        <v>867.09</v>
      </c>
      <c r="Q40" s="144">
        <f t="shared" si="1"/>
        <v>2.3999999999659849E-3</v>
      </c>
    </row>
    <row r="41" spans="2:17" s="143" customFormat="1" ht="42.75" outlineLevel="1" x14ac:dyDescent="0.25">
      <c r="B41" s="135" t="s">
        <v>134</v>
      </c>
      <c r="C41" s="136" t="s">
        <v>135</v>
      </c>
      <c r="D41" s="137" t="s">
        <v>106</v>
      </c>
      <c r="E41" s="138">
        <v>12</v>
      </c>
      <c r="F41" s="139">
        <v>783.80799999999999</v>
      </c>
      <c r="G41" s="114">
        <f t="shared" si="18"/>
        <v>9405.6959999999999</v>
      </c>
      <c r="H41" s="141">
        <f>ROUND(VLOOKUP(B41,'MEMÓRIA DE CÁLCULO'!$C$8:$P$1924,13,FALSE),2)</f>
        <v>0</v>
      </c>
      <c r="I41" s="140">
        <f t="shared" si="23"/>
        <v>0</v>
      </c>
      <c r="J41" s="115">
        <f>10+H41</f>
        <v>10</v>
      </c>
      <c r="K41" s="140">
        <f t="shared" si="24"/>
        <v>7838.08</v>
      </c>
      <c r="L41" s="115">
        <f t="shared" si="21"/>
        <v>2</v>
      </c>
      <c r="M41" s="114">
        <f t="shared" si="22"/>
        <v>1567.616</v>
      </c>
      <c r="N41" s="132">
        <f t="shared" si="4"/>
        <v>0.83330000000000004</v>
      </c>
      <c r="P41" s="144">
        <f t="shared" si="0"/>
        <v>9405.6959999999999</v>
      </c>
      <c r="Q41" s="144">
        <f t="shared" si="1"/>
        <v>0</v>
      </c>
    </row>
    <row r="42" spans="2:17" ht="57" outlineLevel="1" x14ac:dyDescent="0.25">
      <c r="B42" s="55" t="s">
        <v>136</v>
      </c>
      <c r="C42" s="56" t="s">
        <v>137</v>
      </c>
      <c r="D42" s="57" t="s">
        <v>63</v>
      </c>
      <c r="E42" s="112">
        <v>80</v>
      </c>
      <c r="F42" s="113">
        <v>413.94859999999994</v>
      </c>
      <c r="G42" s="114">
        <f t="shared" si="18"/>
        <v>33115.887999999992</v>
      </c>
      <c r="H42" s="141">
        <f>ROUND(VLOOKUP(B42,'MEMÓRIA DE CÁLCULO'!$C$8:$P$1924,13,FALSE),2)</f>
        <v>0</v>
      </c>
      <c r="I42" s="140">
        <f t="shared" si="23"/>
        <v>0</v>
      </c>
      <c r="J42" s="115">
        <f>80+H42</f>
        <v>80</v>
      </c>
      <c r="K42" s="140">
        <f t="shared" si="24"/>
        <v>33115.89</v>
      </c>
      <c r="L42" s="115">
        <f t="shared" si="21"/>
        <v>0</v>
      </c>
      <c r="M42" s="114">
        <f t="shared" si="22"/>
        <v>0</v>
      </c>
      <c r="N42" s="132">
        <f t="shared" si="4"/>
        <v>1</v>
      </c>
      <c r="P42" s="90">
        <f t="shared" si="0"/>
        <v>33115.89</v>
      </c>
      <c r="Q42" s="90">
        <f t="shared" si="1"/>
        <v>2.0000000076834112E-3</v>
      </c>
    </row>
    <row r="43" spans="2:17" ht="15" outlineLevel="1" x14ac:dyDescent="0.25">
      <c r="B43" s="55" t="s">
        <v>138</v>
      </c>
      <c r="C43" s="56" t="s">
        <v>139</v>
      </c>
      <c r="D43" s="57" t="s">
        <v>140</v>
      </c>
      <c r="E43" s="112">
        <v>569</v>
      </c>
      <c r="F43" s="113">
        <v>8.3034660000000002</v>
      </c>
      <c r="G43" s="114">
        <f>E43*F43</f>
        <v>4724.6721539999999</v>
      </c>
      <c r="H43" s="141">
        <f>ROUND(VLOOKUP(B43,'MEMÓRIA DE CÁLCULO'!$C$8:$P$1924,13,FALSE),2)</f>
        <v>60</v>
      </c>
      <c r="I43" s="140">
        <f>ROUND(H43*F43,2)</f>
        <v>498.21</v>
      </c>
      <c r="J43" s="115">
        <f>269.81+H43</f>
        <v>329.81</v>
      </c>
      <c r="K43" s="140">
        <f t="shared" si="24"/>
        <v>2738.57</v>
      </c>
      <c r="L43" s="115">
        <f t="shared" si="21"/>
        <v>239.19</v>
      </c>
      <c r="M43" s="114">
        <f t="shared" si="22"/>
        <v>1986.1060325400001</v>
      </c>
      <c r="N43" s="132">
        <f t="shared" si="4"/>
        <v>0.5796</v>
      </c>
      <c r="P43" s="90">
        <f t="shared" si="0"/>
        <v>4724.6760325400001</v>
      </c>
      <c r="Q43" s="90">
        <f t="shared" si="1"/>
        <v>3.8785400001870585E-3</v>
      </c>
    </row>
    <row r="44" spans="2:17" ht="71.25" outlineLevel="1" x14ac:dyDescent="0.25">
      <c r="B44" s="55" t="s">
        <v>310</v>
      </c>
      <c r="C44" s="58" t="s">
        <v>330</v>
      </c>
      <c r="D44" s="59" t="s">
        <v>331</v>
      </c>
      <c r="E44" s="311">
        <v>1</v>
      </c>
      <c r="F44" s="312">
        <v>7775.2695998068002</v>
      </c>
      <c r="G44" s="114">
        <f>E44*F44</f>
        <v>7775.2695998068002</v>
      </c>
      <c r="H44" s="141">
        <f>ROUND(VLOOKUP(B44,'MEMÓRIA DE CÁLCULO'!$C$8:$P$1924,13,FALSE),2)</f>
        <v>0</v>
      </c>
      <c r="I44" s="140">
        <f t="shared" ref="I44:I48" si="25">ROUND(H44*F44,2)</f>
        <v>0</v>
      </c>
      <c r="J44" s="141">
        <f>1+H44</f>
        <v>1</v>
      </c>
      <c r="K44" s="140">
        <f t="shared" si="24"/>
        <v>7775.27</v>
      </c>
      <c r="L44" s="115">
        <f t="shared" si="21"/>
        <v>0</v>
      </c>
      <c r="M44" s="114">
        <f t="shared" si="22"/>
        <v>0</v>
      </c>
      <c r="N44" s="132">
        <f t="shared" si="4"/>
        <v>1</v>
      </c>
      <c r="P44" s="90"/>
      <c r="Q44" s="90"/>
    </row>
    <row r="45" spans="2:17" ht="71.25" outlineLevel="1" x14ac:dyDescent="0.25">
      <c r="B45" s="55"/>
      <c r="C45" s="58" t="s">
        <v>332</v>
      </c>
      <c r="D45" s="59" t="s">
        <v>331</v>
      </c>
      <c r="E45" s="311">
        <v>1</v>
      </c>
      <c r="F45" s="313">
        <v>7831.1392233983988</v>
      </c>
      <c r="G45" s="114">
        <f t="shared" ref="G45:G48" si="26">E45*F45</f>
        <v>7831.1392233983988</v>
      </c>
      <c r="H45" s="141">
        <f>'MEMÓRIA DE CÁLCULO'!O547</f>
        <v>0</v>
      </c>
      <c r="I45" s="140">
        <f t="shared" si="25"/>
        <v>0</v>
      </c>
      <c r="J45" s="141">
        <f>1+H45</f>
        <v>1</v>
      </c>
      <c r="K45" s="140">
        <f t="shared" si="24"/>
        <v>7831.14</v>
      </c>
      <c r="L45" s="115">
        <f t="shared" si="21"/>
        <v>0</v>
      </c>
      <c r="M45" s="114">
        <f t="shared" si="22"/>
        <v>0</v>
      </c>
      <c r="N45" s="132">
        <f t="shared" si="4"/>
        <v>1</v>
      </c>
      <c r="P45" s="90"/>
      <c r="Q45" s="90"/>
    </row>
    <row r="46" spans="2:17" ht="42.75" outlineLevel="1" x14ac:dyDescent="0.25">
      <c r="B46" s="55" t="s">
        <v>311</v>
      </c>
      <c r="C46" s="58" t="s">
        <v>333</v>
      </c>
      <c r="D46" s="59" t="s">
        <v>334</v>
      </c>
      <c r="E46" s="311">
        <v>9</v>
      </c>
      <c r="F46" s="313">
        <v>787.02961498979994</v>
      </c>
      <c r="G46" s="114">
        <f t="shared" si="26"/>
        <v>7083.2665349081999</v>
      </c>
      <c r="H46" s="141">
        <f>ROUND(VLOOKUP(B46,'MEMÓRIA DE CÁLCULO'!$C$8:$P$1924,13,FALSE),2)</f>
        <v>0</v>
      </c>
      <c r="I46" s="140">
        <f t="shared" si="25"/>
        <v>0</v>
      </c>
      <c r="J46" s="141">
        <f>9+H46</f>
        <v>9</v>
      </c>
      <c r="K46" s="140">
        <f t="shared" si="24"/>
        <v>7083.27</v>
      </c>
      <c r="L46" s="115">
        <f t="shared" si="21"/>
        <v>0</v>
      </c>
      <c r="M46" s="114">
        <f t="shared" si="22"/>
        <v>0</v>
      </c>
      <c r="N46" s="132">
        <f t="shared" si="4"/>
        <v>1</v>
      </c>
      <c r="P46" s="90"/>
      <c r="Q46" s="90"/>
    </row>
    <row r="47" spans="2:17" ht="42.75" outlineLevel="1" x14ac:dyDescent="0.25">
      <c r="B47" s="55" t="s">
        <v>312</v>
      </c>
      <c r="C47" s="58" t="s">
        <v>335</v>
      </c>
      <c r="D47" s="59" t="s">
        <v>334</v>
      </c>
      <c r="E47" s="311">
        <v>14</v>
      </c>
      <c r="F47" s="313">
        <v>498.39</v>
      </c>
      <c r="G47" s="114">
        <f t="shared" si="26"/>
        <v>6977.46</v>
      </c>
      <c r="H47" s="141">
        <f>ROUND(VLOOKUP(B47,'MEMÓRIA DE CÁLCULO'!$C$8:$P$1924,13,FALSE),2)</f>
        <v>0</v>
      </c>
      <c r="I47" s="140">
        <f t="shared" si="25"/>
        <v>0</v>
      </c>
      <c r="J47" s="141">
        <f>14+H47</f>
        <v>14</v>
      </c>
      <c r="K47" s="140">
        <f t="shared" si="24"/>
        <v>6977.46</v>
      </c>
      <c r="L47" s="115">
        <f t="shared" si="21"/>
        <v>0</v>
      </c>
      <c r="M47" s="114">
        <f t="shared" si="22"/>
        <v>0</v>
      </c>
      <c r="N47" s="132">
        <f t="shared" si="4"/>
        <v>1</v>
      </c>
      <c r="P47" s="90"/>
      <c r="Q47" s="90"/>
    </row>
    <row r="48" spans="2:17" ht="57" outlineLevel="1" x14ac:dyDescent="0.25">
      <c r="B48" s="60" t="s">
        <v>313</v>
      </c>
      <c r="C48" s="61" t="s">
        <v>336</v>
      </c>
      <c r="D48" s="62" t="s">
        <v>331</v>
      </c>
      <c r="E48" s="314">
        <v>1</v>
      </c>
      <c r="F48" s="315">
        <v>6618.0332378523999</v>
      </c>
      <c r="G48" s="316">
        <f t="shared" si="26"/>
        <v>6618.0332378523999</v>
      </c>
      <c r="H48" s="141">
        <f>ROUND(VLOOKUP(B48,'MEMÓRIA DE CÁLCULO'!$C$8:$P$1924,13,FALSE),2)</f>
        <v>0</v>
      </c>
      <c r="I48" s="140">
        <f t="shared" si="25"/>
        <v>0</v>
      </c>
      <c r="J48" s="317">
        <f>1+H48</f>
        <v>1</v>
      </c>
      <c r="K48" s="140">
        <f t="shared" si="24"/>
        <v>6618.03</v>
      </c>
      <c r="L48" s="115">
        <f t="shared" si="21"/>
        <v>0</v>
      </c>
      <c r="M48" s="114">
        <f t="shared" si="22"/>
        <v>0</v>
      </c>
      <c r="N48" s="132">
        <f t="shared" si="4"/>
        <v>1</v>
      </c>
      <c r="P48" s="90"/>
      <c r="Q48" s="90"/>
    </row>
    <row r="49" spans="2:17" ht="15" customHeight="1" x14ac:dyDescent="0.25">
      <c r="B49" s="48" t="s">
        <v>25</v>
      </c>
      <c r="C49" s="49" t="s">
        <v>94</v>
      </c>
      <c r="D49" s="50"/>
      <c r="E49" s="119"/>
      <c r="F49" s="120"/>
      <c r="G49" s="106">
        <f>SUBTOTAL(9,G50:G64)</f>
        <v>168018.1336726</v>
      </c>
      <c r="H49" s="107"/>
      <c r="I49" s="106">
        <f>SUM(I50:I64)</f>
        <v>2251.4700000000003</v>
      </c>
      <c r="J49" s="107">
        <v>0</v>
      </c>
      <c r="K49" s="106">
        <f>SUM(K50:K64)</f>
        <v>59705.38</v>
      </c>
      <c r="L49" s="107"/>
      <c r="M49" s="106">
        <f>ROUND(SUBTOTAL(9,M50:M64),2)</f>
        <v>108312.77</v>
      </c>
      <c r="N49" s="133"/>
      <c r="P49" s="90">
        <f t="shared" si="0"/>
        <v>168018.15</v>
      </c>
      <c r="Q49" s="90">
        <f t="shared" si="1"/>
        <v>1.6327399993315339E-2</v>
      </c>
    </row>
    <row r="50" spans="2:17" ht="42.75" outlineLevel="1" x14ac:dyDescent="0.25">
      <c r="B50" s="52" t="s">
        <v>16</v>
      </c>
      <c r="C50" s="53" t="s">
        <v>143</v>
      </c>
      <c r="D50" s="54" t="s">
        <v>144</v>
      </c>
      <c r="E50" s="108">
        <v>20</v>
      </c>
      <c r="F50" s="109">
        <v>164.10980000000001</v>
      </c>
      <c r="G50" s="114">
        <f t="shared" si="18"/>
        <v>3282.1959999999999</v>
      </c>
      <c r="H50" s="156">
        <f>ROUND(VLOOKUP(B50,'MEMÓRIA DE CÁLCULO'!$C$8:$P$1924,13,FALSE),2)</f>
        <v>0</v>
      </c>
      <c r="I50" s="157">
        <f>ROUND(H50*F50,2)</f>
        <v>0</v>
      </c>
      <c r="J50" s="112">
        <f>6.65+H50</f>
        <v>6.65</v>
      </c>
      <c r="K50" s="157">
        <f>ROUND(J50*F50,2)</f>
        <v>1091.33</v>
      </c>
      <c r="L50" s="115">
        <f t="shared" ref="L50:L52" si="27">E50-J50</f>
        <v>13.35</v>
      </c>
      <c r="M50" s="114">
        <f t="shared" si="22"/>
        <v>2190.8658300000002</v>
      </c>
      <c r="N50" s="132">
        <f t="shared" si="4"/>
        <v>0.33250000000000002</v>
      </c>
      <c r="P50" s="90"/>
      <c r="Q50" s="90"/>
    </row>
    <row r="51" spans="2:17" ht="28.5" outlineLevel="1" x14ac:dyDescent="0.25">
      <c r="B51" s="55" t="s">
        <v>145</v>
      </c>
      <c r="C51" s="58" t="s">
        <v>146</v>
      </c>
      <c r="D51" s="59" t="s">
        <v>140</v>
      </c>
      <c r="E51" s="115">
        <v>240</v>
      </c>
      <c r="F51" s="116">
        <v>36.741</v>
      </c>
      <c r="G51" s="114">
        <f t="shared" si="18"/>
        <v>8817.84</v>
      </c>
      <c r="H51" s="115">
        <f>ROUND(VLOOKUP(B51,'MEMÓRIA DE CÁLCULO'!$C$8:$P$1924,13,FALSE),2)</f>
        <v>0</v>
      </c>
      <c r="I51" s="114">
        <f>ROUND(H51*F51,2)</f>
        <v>0</v>
      </c>
      <c r="J51" s="112">
        <f>240+H51</f>
        <v>240</v>
      </c>
      <c r="K51" s="114">
        <f>ROUND(J51*F51,2)</f>
        <v>8817.84</v>
      </c>
      <c r="L51" s="614">
        <f t="shared" si="27"/>
        <v>0</v>
      </c>
      <c r="M51" s="114">
        <f t="shared" si="22"/>
        <v>0</v>
      </c>
      <c r="N51" s="132">
        <f t="shared" si="4"/>
        <v>1</v>
      </c>
      <c r="P51" s="90"/>
      <c r="Q51" s="90"/>
    </row>
    <row r="52" spans="2:17" ht="15" outlineLevel="1" x14ac:dyDescent="0.25">
      <c r="B52" s="55" t="s">
        <v>147</v>
      </c>
      <c r="C52" s="58" t="s">
        <v>148</v>
      </c>
      <c r="D52" s="59" t="s">
        <v>66</v>
      </c>
      <c r="E52" s="115">
        <v>31.8</v>
      </c>
      <c r="F52" s="116">
        <v>25.106349999999996</v>
      </c>
      <c r="G52" s="114">
        <f t="shared" si="18"/>
        <v>798.3819299999999</v>
      </c>
      <c r="H52" s="115">
        <f>ROUND(VLOOKUP(B52,'MEMÓRIA DE CÁLCULO'!$C$8:$P$1924,13,FALSE),2)</f>
        <v>0</v>
      </c>
      <c r="I52" s="114">
        <f>ROUND(H52*F52,2)</f>
        <v>0</v>
      </c>
      <c r="J52" s="112">
        <f>29.49+H52</f>
        <v>29.49</v>
      </c>
      <c r="K52" s="114">
        <f>ROUND(J52*F52,2)</f>
        <v>740.39</v>
      </c>
      <c r="L52" s="115">
        <f t="shared" si="27"/>
        <v>2.3100000000000023</v>
      </c>
      <c r="M52" s="114">
        <f t="shared" si="22"/>
        <v>57.995668500000043</v>
      </c>
      <c r="N52" s="132">
        <f t="shared" si="4"/>
        <v>0.9274</v>
      </c>
      <c r="P52" s="90"/>
      <c r="Q52" s="90"/>
    </row>
    <row r="53" spans="2:17" ht="15" customHeight="1" outlineLevel="1" x14ac:dyDescent="0.25">
      <c r="B53" s="65"/>
      <c r="C53" s="66" t="s">
        <v>150</v>
      </c>
      <c r="D53" s="67"/>
      <c r="E53" s="124"/>
      <c r="F53" s="125"/>
      <c r="G53" s="126">
        <f t="shared" ref="G53" si="28">ROUND(E53*F53,2)</f>
        <v>0</v>
      </c>
      <c r="H53" s="124"/>
      <c r="I53" s="126"/>
      <c r="J53" s="124">
        <v>0</v>
      </c>
      <c r="K53" s="126"/>
      <c r="L53" s="124"/>
      <c r="M53" s="126"/>
      <c r="N53" s="134"/>
      <c r="P53" s="90"/>
      <c r="Q53" s="90"/>
    </row>
    <row r="54" spans="2:17" ht="15" customHeight="1" outlineLevel="1" x14ac:dyDescent="0.25">
      <c r="B54" s="55" t="s">
        <v>149</v>
      </c>
      <c r="C54" s="58" t="s">
        <v>151</v>
      </c>
      <c r="D54" s="59" t="s">
        <v>152</v>
      </c>
      <c r="E54" s="115">
        <v>35</v>
      </c>
      <c r="F54" s="116">
        <v>171.45799999999997</v>
      </c>
      <c r="G54" s="114">
        <f t="shared" si="18"/>
        <v>6001.0299999999988</v>
      </c>
      <c r="H54" s="668">
        <f>'MEMÓRIA DE CÁLCULO'!O681</f>
        <v>1</v>
      </c>
      <c r="I54" s="114">
        <f t="shared" ref="I54:I62" si="29">ROUND(H54*F54,2)</f>
        <v>171.46</v>
      </c>
      <c r="J54" s="668">
        <f>16.48+H54</f>
        <v>17.48</v>
      </c>
      <c r="K54" s="114">
        <f t="shared" ref="K54:K62" si="30">ROUND(J54*F54,2)</f>
        <v>2997.09</v>
      </c>
      <c r="L54" s="668">
        <f t="shared" ref="L54:L62" si="31">E54-J54</f>
        <v>17.52</v>
      </c>
      <c r="M54" s="114">
        <f t="shared" si="22"/>
        <v>3003.9441599999996</v>
      </c>
      <c r="N54" s="132">
        <f t="shared" ref="N54:N64" si="32">ROUND(J54/E54,4)</f>
        <v>0.49940000000000001</v>
      </c>
      <c r="P54" s="90"/>
      <c r="Q54" s="90"/>
    </row>
    <row r="55" spans="2:17" ht="42.75" outlineLevel="1" x14ac:dyDescent="0.25">
      <c r="B55" s="55" t="s">
        <v>153</v>
      </c>
      <c r="C55" s="58" t="s">
        <v>154</v>
      </c>
      <c r="D55" s="59" t="s">
        <v>63</v>
      </c>
      <c r="E55" s="115">
        <v>148</v>
      </c>
      <c r="F55" s="116">
        <v>62.459699999999998</v>
      </c>
      <c r="G55" s="114">
        <f t="shared" si="18"/>
        <v>9244.0355999999992</v>
      </c>
      <c r="H55" s="115">
        <f>ROUND(VLOOKUP(B55,'MEMÓRIA DE CÁLCULO'!$C$8:$P$1924,13,FALSE),2)</f>
        <v>6.46</v>
      </c>
      <c r="I55" s="114">
        <f t="shared" si="29"/>
        <v>403.49</v>
      </c>
      <c r="J55" s="115">
        <f>34.43+H55</f>
        <v>40.89</v>
      </c>
      <c r="K55" s="114">
        <f>ROUND(J55*F55,2)</f>
        <v>2553.98</v>
      </c>
      <c r="L55" s="115">
        <f t="shared" si="31"/>
        <v>107.11</v>
      </c>
      <c r="M55" s="114">
        <f t="shared" si="22"/>
        <v>6690.0584669999998</v>
      </c>
      <c r="N55" s="132">
        <f t="shared" si="32"/>
        <v>0.27629999999999999</v>
      </c>
      <c r="P55" s="90"/>
      <c r="Q55" s="90"/>
    </row>
    <row r="56" spans="2:17" ht="57" outlineLevel="1" x14ac:dyDescent="0.25">
      <c r="B56" s="55" t="s">
        <v>155</v>
      </c>
      <c r="C56" s="58" t="s">
        <v>156</v>
      </c>
      <c r="D56" s="59" t="s">
        <v>63</v>
      </c>
      <c r="E56" s="115">
        <v>300</v>
      </c>
      <c r="F56" s="116">
        <v>61.234999999999992</v>
      </c>
      <c r="G56" s="114">
        <f t="shared" si="18"/>
        <v>18370.499999999996</v>
      </c>
      <c r="H56" s="115">
        <f>ROUND(VLOOKUP(B56,'MEMÓRIA DE CÁLCULO'!$C$8:$P$1924,13,FALSE),2)</f>
        <v>6.68</v>
      </c>
      <c r="I56" s="114">
        <f t="shared" si="29"/>
        <v>409.05</v>
      </c>
      <c r="J56" s="115">
        <f>45.92+H56</f>
        <v>52.6</v>
      </c>
      <c r="K56" s="114">
        <f t="shared" si="30"/>
        <v>3220.96</v>
      </c>
      <c r="L56" s="115">
        <f t="shared" si="31"/>
        <v>247.4</v>
      </c>
      <c r="M56" s="114">
        <f t="shared" si="22"/>
        <v>15149.538999999999</v>
      </c>
      <c r="N56" s="132">
        <f t="shared" si="32"/>
        <v>0.17530000000000001</v>
      </c>
      <c r="P56" s="90"/>
      <c r="Q56" s="90"/>
    </row>
    <row r="57" spans="2:17" ht="99.75" outlineLevel="1" x14ac:dyDescent="0.25">
      <c r="B57" s="55" t="s">
        <v>157</v>
      </c>
      <c r="C57" s="58" t="s">
        <v>158</v>
      </c>
      <c r="D57" s="59" t="s">
        <v>63</v>
      </c>
      <c r="E57" s="115">
        <v>569.24</v>
      </c>
      <c r="F57" s="116">
        <v>60.255240000000001</v>
      </c>
      <c r="G57" s="114">
        <f t="shared" si="18"/>
        <v>34299.6928176</v>
      </c>
      <c r="H57" s="115">
        <f>ROUND(VLOOKUP(B57,'MEMÓRIA DE CÁLCULO'!$C$8:$P$1924,13,FALSE),2)</f>
        <v>0</v>
      </c>
      <c r="I57" s="114">
        <f t="shared" si="29"/>
        <v>0</v>
      </c>
      <c r="J57" s="115">
        <f>236.48+H57</f>
        <v>236.48</v>
      </c>
      <c r="K57" s="114">
        <f t="shared" si="30"/>
        <v>14249.16</v>
      </c>
      <c r="L57" s="115">
        <f t="shared" si="31"/>
        <v>332.76</v>
      </c>
      <c r="M57" s="114">
        <f t="shared" si="22"/>
        <v>20050.533662400001</v>
      </c>
      <c r="N57" s="132">
        <f t="shared" si="32"/>
        <v>0.41539999999999999</v>
      </c>
      <c r="P57" s="90"/>
      <c r="Q57" s="90"/>
    </row>
    <row r="58" spans="2:17" ht="57" outlineLevel="1" x14ac:dyDescent="0.25">
      <c r="B58" s="55" t="s">
        <v>159</v>
      </c>
      <c r="C58" s="58" t="s">
        <v>160</v>
      </c>
      <c r="D58" s="59" t="s">
        <v>63</v>
      </c>
      <c r="E58" s="115">
        <v>419.93</v>
      </c>
      <c r="F58" s="116">
        <v>91.852499999999992</v>
      </c>
      <c r="G58" s="114">
        <f t="shared" si="18"/>
        <v>38571.620324999996</v>
      </c>
      <c r="H58" s="115">
        <f>ROUND(VLOOKUP(B58,'MEMÓRIA DE CÁLCULO'!$C$8:$P$1924,13,FALSE),2)</f>
        <v>0</v>
      </c>
      <c r="I58" s="114">
        <f t="shared" si="29"/>
        <v>0</v>
      </c>
      <c r="J58" s="115">
        <f>193.02+H58</f>
        <v>193.02</v>
      </c>
      <c r="K58" s="114">
        <f t="shared" si="30"/>
        <v>17729.37</v>
      </c>
      <c r="L58" s="115">
        <f t="shared" si="31"/>
        <v>226.91</v>
      </c>
      <c r="M58" s="114">
        <f t="shared" si="22"/>
        <v>20842.250774999997</v>
      </c>
      <c r="N58" s="132">
        <f t="shared" si="32"/>
        <v>0.45960000000000001</v>
      </c>
      <c r="P58" s="90"/>
      <c r="Q58" s="90"/>
    </row>
    <row r="59" spans="2:17" ht="28.5" outlineLevel="1" x14ac:dyDescent="0.25">
      <c r="B59" s="55" t="s">
        <v>161</v>
      </c>
      <c r="C59" s="58" t="s">
        <v>162</v>
      </c>
      <c r="D59" s="59" t="s">
        <v>106</v>
      </c>
      <c r="E59" s="115">
        <v>1</v>
      </c>
      <c r="F59" s="116">
        <v>1959.5199999999998</v>
      </c>
      <c r="G59" s="114">
        <f t="shared" si="18"/>
        <v>1959.5199999999998</v>
      </c>
      <c r="H59" s="115">
        <f>ROUND(VLOOKUP(B59,'MEMÓRIA DE CÁLCULO'!$C$8:$P$1924,13,FALSE),2)</f>
        <v>0</v>
      </c>
      <c r="I59" s="114">
        <f t="shared" si="29"/>
        <v>0</v>
      </c>
      <c r="J59" s="115">
        <v>0</v>
      </c>
      <c r="K59" s="114">
        <f t="shared" si="30"/>
        <v>0</v>
      </c>
      <c r="L59" s="115">
        <f t="shared" si="31"/>
        <v>1</v>
      </c>
      <c r="M59" s="114">
        <f t="shared" si="22"/>
        <v>1959.5199999999998</v>
      </c>
      <c r="N59" s="132">
        <f t="shared" si="32"/>
        <v>0</v>
      </c>
      <c r="P59" s="90"/>
      <c r="Q59" s="90"/>
    </row>
    <row r="60" spans="2:17" ht="42.75" outlineLevel="1" x14ac:dyDescent="0.25">
      <c r="B60" s="55" t="s">
        <v>163</v>
      </c>
      <c r="C60" s="58" t="s">
        <v>164</v>
      </c>
      <c r="D60" s="59" t="s">
        <v>63</v>
      </c>
      <c r="E60" s="115">
        <v>15</v>
      </c>
      <c r="F60" s="116">
        <v>122.47</v>
      </c>
      <c r="G60" s="114">
        <f t="shared" si="18"/>
        <v>1837.05</v>
      </c>
      <c r="H60" s="115">
        <f>ROUND(VLOOKUP(B60,'MEMÓRIA DE CÁLCULO'!$C$8:$P$1924,13,FALSE),2)</f>
        <v>2.4</v>
      </c>
      <c r="I60" s="114">
        <f t="shared" si="29"/>
        <v>293.93</v>
      </c>
      <c r="J60" s="115">
        <v>0</v>
      </c>
      <c r="K60" s="114">
        <f t="shared" si="30"/>
        <v>0</v>
      </c>
      <c r="L60" s="115">
        <f t="shared" si="31"/>
        <v>15</v>
      </c>
      <c r="M60" s="114">
        <f t="shared" si="22"/>
        <v>1837.05</v>
      </c>
      <c r="N60" s="132">
        <f t="shared" si="32"/>
        <v>0</v>
      </c>
      <c r="P60" s="90"/>
      <c r="Q60" s="90"/>
    </row>
    <row r="61" spans="2:17" ht="15" outlineLevel="1" x14ac:dyDescent="0.25">
      <c r="B61" s="55" t="s">
        <v>165</v>
      </c>
      <c r="C61" s="58" t="s">
        <v>166</v>
      </c>
      <c r="D61" s="59" t="s">
        <v>66</v>
      </c>
      <c r="E61" s="115">
        <v>1</v>
      </c>
      <c r="F61" s="116">
        <v>122.47</v>
      </c>
      <c r="G61" s="114">
        <f t="shared" si="18"/>
        <v>122.47</v>
      </c>
      <c r="H61" s="115">
        <f>ROUND(VLOOKUP(B61,'MEMÓRIA DE CÁLCULO'!$C$8:$P$1924,13,FALSE),2)</f>
        <v>0</v>
      </c>
      <c r="I61" s="114">
        <f t="shared" si="29"/>
        <v>0</v>
      </c>
      <c r="J61" s="115">
        <f>1+H61</f>
        <v>1</v>
      </c>
      <c r="K61" s="114">
        <f t="shared" si="30"/>
        <v>122.47</v>
      </c>
      <c r="L61" s="115">
        <f t="shared" si="31"/>
        <v>0</v>
      </c>
      <c r="M61" s="114">
        <f t="shared" si="22"/>
        <v>0</v>
      </c>
      <c r="N61" s="132">
        <f t="shared" si="32"/>
        <v>1</v>
      </c>
      <c r="P61" s="90">
        <f t="shared" si="0"/>
        <v>122.47</v>
      </c>
      <c r="Q61" s="90">
        <f t="shared" si="1"/>
        <v>0</v>
      </c>
    </row>
    <row r="62" spans="2:17" ht="15" outlineLevel="1" x14ac:dyDescent="0.25">
      <c r="B62" s="55" t="s">
        <v>167</v>
      </c>
      <c r="C62" s="58" t="s">
        <v>168</v>
      </c>
      <c r="D62" s="59" t="s">
        <v>63</v>
      </c>
      <c r="E62" s="115">
        <v>300</v>
      </c>
      <c r="F62" s="116">
        <v>145.73929999999999</v>
      </c>
      <c r="G62" s="114">
        <f t="shared" si="18"/>
        <v>43721.789999999994</v>
      </c>
      <c r="H62" s="115">
        <f>ROUND(VLOOKUP(B62,'MEMÓRIA DE CÁLCULO'!$C$8:$P$1924,13,FALSE),2)</f>
        <v>6.68</v>
      </c>
      <c r="I62" s="114">
        <f t="shared" si="29"/>
        <v>973.54</v>
      </c>
      <c r="J62" s="115">
        <f>42.66+H62</f>
        <v>49.339999999999996</v>
      </c>
      <c r="K62" s="114">
        <f t="shared" si="30"/>
        <v>7190.78</v>
      </c>
      <c r="L62" s="115">
        <f t="shared" si="31"/>
        <v>250.66</v>
      </c>
      <c r="M62" s="114">
        <f t="shared" si="22"/>
        <v>36531.012937999993</v>
      </c>
      <c r="N62" s="132">
        <f t="shared" si="32"/>
        <v>0.16450000000000001</v>
      </c>
      <c r="P62" s="90"/>
      <c r="Q62" s="90"/>
    </row>
    <row r="63" spans="2:17" ht="15" customHeight="1" outlineLevel="1" x14ac:dyDescent="0.25">
      <c r="B63" s="65"/>
      <c r="C63" s="66" t="s">
        <v>169</v>
      </c>
      <c r="D63" s="67"/>
      <c r="E63" s="124"/>
      <c r="F63" s="125"/>
      <c r="G63" s="126"/>
      <c r="H63" s="124"/>
      <c r="I63" s="126"/>
      <c r="J63" s="124">
        <v>0</v>
      </c>
      <c r="K63" s="126"/>
      <c r="L63" s="124"/>
      <c r="M63" s="126"/>
      <c r="N63" s="134"/>
      <c r="P63" s="90"/>
      <c r="Q63" s="90"/>
    </row>
    <row r="64" spans="2:17" ht="15" outlineLevel="1" x14ac:dyDescent="0.25">
      <c r="B64" s="60" t="s">
        <v>170</v>
      </c>
      <c r="C64" s="61" t="s">
        <v>171</v>
      </c>
      <c r="D64" s="62" t="s">
        <v>66</v>
      </c>
      <c r="E64" s="117">
        <v>30</v>
      </c>
      <c r="F64" s="118">
        <v>33.066899999999997</v>
      </c>
      <c r="G64" s="114">
        <f t="shared" si="18"/>
        <v>992.00699999999995</v>
      </c>
      <c r="H64" s="115">
        <f>ROUND(VLOOKUP(B64,'MEMÓRIA DE CÁLCULO'!$C$8:$P$1924,13,FALSE),2)</f>
        <v>0</v>
      </c>
      <c r="I64" s="114">
        <f>ROUND(H64*F64,2)</f>
        <v>0</v>
      </c>
      <c r="J64" s="115">
        <f>30+H64</f>
        <v>30</v>
      </c>
      <c r="K64" s="114">
        <f>ROUND(J64*F64,2)</f>
        <v>992.01</v>
      </c>
      <c r="L64" s="115">
        <f>E64-J64</f>
        <v>0</v>
      </c>
      <c r="M64" s="114">
        <f t="shared" si="22"/>
        <v>0</v>
      </c>
      <c r="N64" s="132">
        <f t="shared" si="32"/>
        <v>1</v>
      </c>
      <c r="P64" s="90"/>
      <c r="Q64" s="90"/>
    </row>
    <row r="65" spans="2:17" ht="15" customHeight="1" x14ac:dyDescent="0.25">
      <c r="B65" s="48" t="s">
        <v>26</v>
      </c>
      <c r="C65" s="49" t="s">
        <v>95</v>
      </c>
      <c r="D65" s="50"/>
      <c r="E65" s="119"/>
      <c r="F65" s="120"/>
      <c r="G65" s="106">
        <f>SUBTOTAL(9,G66:G79)</f>
        <v>226330.95660809998</v>
      </c>
      <c r="H65" s="107"/>
      <c r="I65" s="320">
        <f>SUM(I66:I79)</f>
        <v>0</v>
      </c>
      <c r="J65" s="321">
        <v>0</v>
      </c>
      <c r="K65" s="106">
        <f>ROUND(SUBTOTAL(9,K66:K79),2)</f>
        <v>133375.79</v>
      </c>
      <c r="L65" s="107"/>
      <c r="M65" s="106">
        <f>ROUND(SUBTOTAL(9,M66:M79),2)</f>
        <v>92955.19</v>
      </c>
      <c r="N65" s="133"/>
      <c r="P65" s="90">
        <f t="shared" si="0"/>
        <v>226330.98</v>
      </c>
      <c r="Q65" s="90">
        <f t="shared" si="1"/>
        <v>2.3391900031128898E-2</v>
      </c>
    </row>
    <row r="66" spans="2:17" ht="42.75" outlineLevel="1" x14ac:dyDescent="0.25">
      <c r="B66" s="158" t="s">
        <v>172</v>
      </c>
      <c r="C66" s="159" t="s">
        <v>173</v>
      </c>
      <c r="D66" s="160" t="s">
        <v>63</v>
      </c>
      <c r="E66" s="161">
        <v>848.37</v>
      </c>
      <c r="F66" s="162">
        <v>20.942369999999997</v>
      </c>
      <c r="G66" s="114">
        <f t="shared" si="18"/>
        <v>17766.878436899999</v>
      </c>
      <c r="H66" s="141">
        <f>ROUND(VLOOKUP(B66,'MEMÓRIA DE CÁLCULO'!$C$8:$P$1924,13,FALSE),2)</f>
        <v>0</v>
      </c>
      <c r="I66" s="140">
        <f>ROUND(H66*F66,2)</f>
        <v>0</v>
      </c>
      <c r="J66" s="112">
        <f>848.37+H66</f>
        <v>848.37</v>
      </c>
      <c r="K66" s="140">
        <f>ROUND(J66*F66,2)</f>
        <v>17766.88</v>
      </c>
      <c r="L66" s="115">
        <f t="shared" ref="L66:L73" si="33">E66-J66</f>
        <v>0</v>
      </c>
      <c r="M66" s="114">
        <f t="shared" si="22"/>
        <v>0</v>
      </c>
      <c r="N66" s="142">
        <f>ROUND(J66/E66,4)</f>
        <v>1</v>
      </c>
      <c r="P66" s="90">
        <f t="shared" si="0"/>
        <v>17766.88</v>
      </c>
      <c r="Q66" s="90">
        <f t="shared" si="1"/>
        <v>1.5631000023859087E-3</v>
      </c>
    </row>
    <row r="67" spans="2:17" ht="57" outlineLevel="1" x14ac:dyDescent="0.25">
      <c r="B67" s="135" t="s">
        <v>174</v>
      </c>
      <c r="C67" s="163" t="s">
        <v>175</v>
      </c>
      <c r="D67" s="164" t="s">
        <v>63</v>
      </c>
      <c r="E67" s="141">
        <v>1637</v>
      </c>
      <c r="F67" s="165">
        <v>5.0825049999999994</v>
      </c>
      <c r="G67" s="114">
        <f t="shared" si="18"/>
        <v>8320.0606849999986</v>
      </c>
      <c r="H67" s="141">
        <f>ROUND(VLOOKUP(B67,'MEMÓRIA DE CÁLCULO'!$C$8:$P$1924,13,FALSE),2)</f>
        <v>0</v>
      </c>
      <c r="I67" s="140">
        <f>ROUND(H67*F67,2)</f>
        <v>0</v>
      </c>
      <c r="J67" s="115">
        <f>1637+H67</f>
        <v>1637</v>
      </c>
      <c r="K67" s="140">
        <f>ROUND(J67*F67,2)</f>
        <v>8320.06</v>
      </c>
      <c r="L67" s="115">
        <f t="shared" si="33"/>
        <v>0</v>
      </c>
      <c r="M67" s="114">
        <f t="shared" si="22"/>
        <v>0</v>
      </c>
      <c r="N67" s="142">
        <f>ROUND(J67/E67,4)</f>
        <v>1</v>
      </c>
      <c r="P67" s="90">
        <f t="shared" si="0"/>
        <v>8320.06</v>
      </c>
      <c r="Q67" s="90">
        <f t="shared" si="1"/>
        <v>-6.8499999906634912E-4</v>
      </c>
    </row>
    <row r="68" spans="2:17" ht="28.5" outlineLevel="1" x14ac:dyDescent="0.25">
      <c r="B68" s="135" t="s">
        <v>176</v>
      </c>
      <c r="C68" s="163" t="s">
        <v>340</v>
      </c>
      <c r="D68" s="164" t="s">
        <v>63</v>
      </c>
      <c r="E68" s="141">
        <v>596.72</v>
      </c>
      <c r="F68" s="165">
        <v>11.389709999999997</v>
      </c>
      <c r="G68" s="114">
        <f t="shared" si="18"/>
        <v>6796.4677511999989</v>
      </c>
      <c r="H68" s="141">
        <f>ROUND(VLOOKUP(B68,'MEMÓRIA DE CÁLCULO'!$C$8:$P$1924,13,FALSE),2)</f>
        <v>0</v>
      </c>
      <c r="I68" s="140">
        <f t="shared" ref="I68:I70" si="34">ROUND(H68*F68,2)</f>
        <v>0</v>
      </c>
      <c r="J68" s="115">
        <f>596.72+H68</f>
        <v>596.72</v>
      </c>
      <c r="K68" s="140">
        <f t="shared" ref="K68:K70" si="35">ROUND(J68*F68,2)</f>
        <v>6796.47</v>
      </c>
      <c r="L68" s="115">
        <f t="shared" si="33"/>
        <v>0</v>
      </c>
      <c r="M68" s="114">
        <f t="shared" si="22"/>
        <v>0</v>
      </c>
      <c r="N68" s="142">
        <f t="shared" ref="N68:N70" si="36">ROUND(J68/E68,4)</f>
        <v>1</v>
      </c>
      <c r="P68" s="90">
        <f t="shared" si="0"/>
        <v>6796.47</v>
      </c>
      <c r="Q68" s="90">
        <f t="shared" si="1"/>
        <v>2.248800001325435E-3</v>
      </c>
    </row>
    <row r="69" spans="2:17" ht="71.25" outlineLevel="1" x14ac:dyDescent="0.25">
      <c r="B69" s="135" t="s">
        <v>177</v>
      </c>
      <c r="C69" s="163" t="s">
        <v>178</v>
      </c>
      <c r="D69" s="164" t="s">
        <v>63</v>
      </c>
      <c r="E69" s="141">
        <v>283</v>
      </c>
      <c r="F69" s="165">
        <v>37.598289999999992</v>
      </c>
      <c r="G69" s="114">
        <f t="shared" si="18"/>
        <v>10640.316069999997</v>
      </c>
      <c r="H69" s="141">
        <f>ROUND(VLOOKUP(B69,'MEMÓRIA DE CÁLCULO'!$C$8:$P$1924,13,FALSE),2)</f>
        <v>0</v>
      </c>
      <c r="I69" s="140">
        <f t="shared" si="34"/>
        <v>0</v>
      </c>
      <c r="J69" s="115">
        <f>283+H69</f>
        <v>283</v>
      </c>
      <c r="K69" s="140">
        <f t="shared" si="35"/>
        <v>10640.32</v>
      </c>
      <c r="L69" s="115">
        <f t="shared" si="33"/>
        <v>0</v>
      </c>
      <c r="M69" s="114">
        <f t="shared" si="22"/>
        <v>0</v>
      </c>
      <c r="N69" s="142">
        <f t="shared" si="36"/>
        <v>1</v>
      </c>
      <c r="P69" s="90">
        <f t="shared" si="0"/>
        <v>10640.32</v>
      </c>
      <c r="Q69" s="90">
        <f t="shared" si="1"/>
        <v>3.930000002583256E-3</v>
      </c>
    </row>
    <row r="70" spans="2:17" ht="28.5" outlineLevel="1" x14ac:dyDescent="0.25">
      <c r="B70" s="135" t="s">
        <v>179</v>
      </c>
      <c r="C70" s="163" t="s">
        <v>180</v>
      </c>
      <c r="D70" s="164" t="s">
        <v>63</v>
      </c>
      <c r="E70" s="141">
        <v>150</v>
      </c>
      <c r="F70" s="165">
        <v>128.59349999999998</v>
      </c>
      <c r="G70" s="114">
        <f t="shared" si="18"/>
        <v>19289.024999999998</v>
      </c>
      <c r="H70" s="141">
        <f>ROUND(VLOOKUP(B70,'MEMÓRIA DE CÁLCULO'!$C$8:$P$1924,13,FALSE),2)</f>
        <v>0</v>
      </c>
      <c r="I70" s="140">
        <f t="shared" si="34"/>
        <v>0</v>
      </c>
      <c r="J70" s="115">
        <f>37.38+H70</f>
        <v>37.380000000000003</v>
      </c>
      <c r="K70" s="140">
        <f t="shared" si="35"/>
        <v>4806.83</v>
      </c>
      <c r="L70" s="115">
        <f t="shared" si="33"/>
        <v>112.62</v>
      </c>
      <c r="M70" s="114">
        <f t="shared" si="22"/>
        <v>14482.199969999998</v>
      </c>
      <c r="N70" s="142">
        <f t="shared" si="36"/>
        <v>0.2492</v>
      </c>
      <c r="P70" s="90">
        <f t="shared" si="0"/>
        <v>19289.029969999996</v>
      </c>
      <c r="Q70" s="90">
        <f t="shared" si="1"/>
        <v>4.969999998138519E-3</v>
      </c>
    </row>
    <row r="71" spans="2:17" ht="28.5" outlineLevel="1" x14ac:dyDescent="0.25">
      <c r="B71" s="135" t="s">
        <v>181</v>
      </c>
      <c r="C71" s="163" t="s">
        <v>182</v>
      </c>
      <c r="D71" s="164" t="s">
        <v>106</v>
      </c>
      <c r="E71" s="141">
        <v>1</v>
      </c>
      <c r="F71" s="165">
        <v>3306.6899999999996</v>
      </c>
      <c r="G71" s="114">
        <f t="shared" si="18"/>
        <v>3306.6899999999996</v>
      </c>
      <c r="H71" s="141">
        <f>ROUND(VLOOKUP(B71,'MEMÓRIA DE CÁLCULO'!$C$8:$P$1924,13,FALSE),2)</f>
        <v>0</v>
      </c>
      <c r="I71" s="140">
        <f t="shared" ref="I71" si="37">ROUND(H71*F71,2)</f>
        <v>0</v>
      </c>
      <c r="J71" s="115"/>
      <c r="K71" s="140">
        <f t="shared" ref="K71" si="38">ROUND(J71*F71,2)</f>
        <v>0</v>
      </c>
      <c r="L71" s="115">
        <f t="shared" si="33"/>
        <v>1</v>
      </c>
      <c r="M71" s="114">
        <f t="shared" si="22"/>
        <v>3306.6899999999996</v>
      </c>
      <c r="N71" s="142">
        <f t="shared" ref="N71" si="39">ROUND(J71/E71,4)</f>
        <v>0</v>
      </c>
      <c r="P71" s="90">
        <f t="shared" si="0"/>
        <v>3306.6899999999996</v>
      </c>
      <c r="Q71" s="90">
        <f t="shared" si="1"/>
        <v>0</v>
      </c>
    </row>
    <row r="72" spans="2:17" ht="28.5" outlineLevel="1" x14ac:dyDescent="0.25">
      <c r="B72" s="135" t="s">
        <v>183</v>
      </c>
      <c r="C72" s="163" t="s">
        <v>184</v>
      </c>
      <c r="D72" s="164" t="s">
        <v>65</v>
      </c>
      <c r="E72" s="141">
        <v>20</v>
      </c>
      <c r="F72" s="165">
        <v>110.22299999999998</v>
      </c>
      <c r="G72" s="114">
        <f t="shared" si="18"/>
        <v>2204.4599999999996</v>
      </c>
      <c r="H72" s="141">
        <f>ROUND(VLOOKUP(B72,'MEMÓRIA DE CÁLCULO'!$C$8:$P$1924,13,FALSE),2)</f>
        <v>0</v>
      </c>
      <c r="I72" s="140">
        <f>ROUND(H72*F72,2)</f>
        <v>0</v>
      </c>
      <c r="J72" s="115">
        <v>0</v>
      </c>
      <c r="K72" s="140">
        <f>ROUND(J72*F72,2)</f>
        <v>0</v>
      </c>
      <c r="L72" s="115">
        <f t="shared" si="33"/>
        <v>20</v>
      </c>
      <c r="M72" s="114">
        <f t="shared" si="22"/>
        <v>2204.4599999999996</v>
      </c>
      <c r="N72" s="142">
        <f>ROUND(J72/E72,4)</f>
        <v>0</v>
      </c>
      <c r="P72" s="90">
        <f t="shared" si="0"/>
        <v>2204.4599999999996</v>
      </c>
      <c r="Q72" s="90">
        <f t="shared" si="1"/>
        <v>0</v>
      </c>
    </row>
    <row r="73" spans="2:17" ht="57" outlineLevel="1" x14ac:dyDescent="0.25">
      <c r="B73" s="135" t="s">
        <v>185</v>
      </c>
      <c r="C73" s="163" t="s">
        <v>186</v>
      </c>
      <c r="D73" s="164" t="s">
        <v>106</v>
      </c>
      <c r="E73" s="141">
        <v>300</v>
      </c>
      <c r="F73" s="165">
        <v>94.301899999999989</v>
      </c>
      <c r="G73" s="114">
        <f t="shared" si="18"/>
        <v>28290.569999999996</v>
      </c>
      <c r="H73" s="141">
        <f>ROUND(VLOOKUP(B73,'MEMÓRIA DE CÁLCULO'!$C$8:$P$1924,13,FALSE),2)</f>
        <v>0</v>
      </c>
      <c r="I73" s="140">
        <f t="shared" ref="I73:I76" si="40">ROUND(H73*F73,2)</f>
        <v>0</v>
      </c>
      <c r="J73" s="115">
        <v>0</v>
      </c>
      <c r="K73" s="140">
        <f t="shared" ref="K73:K76" si="41">ROUND(J73*F73,2)</f>
        <v>0</v>
      </c>
      <c r="L73" s="115">
        <f t="shared" si="33"/>
        <v>300</v>
      </c>
      <c r="M73" s="114">
        <f t="shared" si="22"/>
        <v>28290.569999999996</v>
      </c>
      <c r="N73" s="142">
        <f t="shared" ref="N73:N76" si="42">ROUND(J73/E73,4)</f>
        <v>0</v>
      </c>
      <c r="P73" s="90">
        <f t="shared" si="0"/>
        <v>28290.569999999996</v>
      </c>
      <c r="Q73" s="90">
        <f t="shared" si="1"/>
        <v>0</v>
      </c>
    </row>
    <row r="74" spans="2:17" ht="15" outlineLevel="1" x14ac:dyDescent="0.25">
      <c r="B74" s="65"/>
      <c r="C74" s="66" t="s">
        <v>187</v>
      </c>
      <c r="D74" s="67"/>
      <c r="E74" s="124"/>
      <c r="F74" s="125"/>
      <c r="G74" s="126">
        <f t="shared" ref="G74" si="43">ROUND(E74*F74,2)</f>
        <v>0</v>
      </c>
      <c r="H74" s="124"/>
      <c r="I74" s="126"/>
      <c r="J74" s="124">
        <v>0</v>
      </c>
      <c r="K74" s="126"/>
      <c r="L74" s="124"/>
      <c r="M74" s="126"/>
      <c r="N74" s="134"/>
      <c r="P74" s="90">
        <f t="shared" si="0"/>
        <v>0</v>
      </c>
      <c r="Q74" s="90">
        <f t="shared" si="1"/>
        <v>0</v>
      </c>
    </row>
    <row r="75" spans="2:17" ht="42.75" outlineLevel="1" x14ac:dyDescent="0.25">
      <c r="B75" s="135" t="s">
        <v>188</v>
      </c>
      <c r="C75" s="163" t="s">
        <v>189</v>
      </c>
      <c r="D75" s="164" t="s">
        <v>63</v>
      </c>
      <c r="E75" s="141">
        <v>800</v>
      </c>
      <c r="F75" s="165">
        <v>58.173249999999996</v>
      </c>
      <c r="G75" s="114">
        <f t="shared" si="18"/>
        <v>46538.6</v>
      </c>
      <c r="H75" s="141">
        <f>ROUND(VLOOKUP(B75,'MEMÓRIA DE CÁLCULO'!$C$8:$P$1924,13,FALSE),2)</f>
        <v>0</v>
      </c>
      <c r="I75" s="140">
        <f t="shared" si="40"/>
        <v>0</v>
      </c>
      <c r="J75" s="115">
        <f>385.79+H75</f>
        <v>385.79</v>
      </c>
      <c r="K75" s="140">
        <f t="shared" si="41"/>
        <v>22442.66</v>
      </c>
      <c r="L75" s="115">
        <f t="shared" ref="L75:L79" si="44">E75-J75</f>
        <v>414.21</v>
      </c>
      <c r="M75" s="114">
        <f t="shared" si="22"/>
        <v>24095.941882499996</v>
      </c>
      <c r="N75" s="142">
        <f t="shared" si="42"/>
        <v>0.48220000000000002</v>
      </c>
      <c r="P75" s="90">
        <f t="shared" si="0"/>
        <v>46538.601882499992</v>
      </c>
      <c r="Q75" s="90">
        <f t="shared" si="1"/>
        <v>1.8824999933713116E-3</v>
      </c>
    </row>
    <row r="76" spans="2:17" ht="15" outlineLevel="1" x14ac:dyDescent="0.25">
      <c r="B76" s="55" t="s">
        <v>190</v>
      </c>
      <c r="C76" s="58" t="s">
        <v>191</v>
      </c>
      <c r="D76" s="59" t="s">
        <v>63</v>
      </c>
      <c r="E76" s="115">
        <v>800</v>
      </c>
      <c r="F76" s="116">
        <v>30.6175</v>
      </c>
      <c r="G76" s="114">
        <f t="shared" si="18"/>
        <v>24494</v>
      </c>
      <c r="H76" s="141">
        <f>ROUND(VLOOKUP(B76,'MEMÓRIA DE CÁLCULO'!$C$8:$P$1924,13,FALSE),2)</f>
        <v>0</v>
      </c>
      <c r="I76" s="140">
        <f t="shared" si="40"/>
        <v>0</v>
      </c>
      <c r="J76" s="115">
        <f>423.41+H76</f>
        <v>423.41</v>
      </c>
      <c r="K76" s="140">
        <f t="shared" si="41"/>
        <v>12963.76</v>
      </c>
      <c r="L76" s="115">
        <f t="shared" si="44"/>
        <v>376.59</v>
      </c>
      <c r="M76" s="114">
        <f t="shared" si="22"/>
        <v>11530.244325</v>
      </c>
      <c r="N76" s="142">
        <f t="shared" si="42"/>
        <v>0.52929999999999999</v>
      </c>
      <c r="P76" s="90">
        <f t="shared" si="0"/>
        <v>24494.004325000002</v>
      </c>
      <c r="Q76" s="90">
        <f t="shared" si="1"/>
        <v>4.3250000016996637E-3</v>
      </c>
    </row>
    <row r="77" spans="2:17" ht="57" outlineLevel="1" x14ac:dyDescent="0.25">
      <c r="B77" s="55" t="s">
        <v>192</v>
      </c>
      <c r="C77" s="58" t="s">
        <v>193</v>
      </c>
      <c r="D77" s="59" t="s">
        <v>63</v>
      </c>
      <c r="E77" s="115">
        <v>149.31</v>
      </c>
      <c r="F77" s="116">
        <v>318.42200000000003</v>
      </c>
      <c r="G77" s="114">
        <f t="shared" si="18"/>
        <v>47543.588820000004</v>
      </c>
      <c r="H77" s="141">
        <f>ROUND(VLOOKUP(B77,'MEMÓRIA DE CÁLCULO'!$C$8:$P$1924,13,FALSE),2)</f>
        <v>0</v>
      </c>
      <c r="I77" s="140">
        <f t="shared" ref="I77" si="45">ROUND(H77*F77,2)</f>
        <v>0</v>
      </c>
      <c r="J77" s="115">
        <f>149.31+H77</f>
        <v>149.31</v>
      </c>
      <c r="K77" s="140">
        <f t="shared" ref="K77" si="46">ROUND(J77*F77,2)</f>
        <v>47543.59</v>
      </c>
      <c r="L77" s="115">
        <f t="shared" si="44"/>
        <v>0</v>
      </c>
      <c r="M77" s="114">
        <f t="shared" si="22"/>
        <v>0</v>
      </c>
      <c r="N77" s="142">
        <f t="shared" ref="N77" si="47">ROUND(J77/E77,4)</f>
        <v>1</v>
      </c>
      <c r="P77" s="90">
        <f t="shared" si="0"/>
        <v>47543.59</v>
      </c>
      <c r="Q77" s="90">
        <f t="shared" si="1"/>
        <v>1.1799999920185655E-3</v>
      </c>
    </row>
    <row r="78" spans="2:17" ht="42.75" outlineLevel="1" x14ac:dyDescent="0.25">
      <c r="B78" s="135" t="s">
        <v>194</v>
      </c>
      <c r="C78" s="163" t="s">
        <v>195</v>
      </c>
      <c r="D78" s="164" t="s">
        <v>63</v>
      </c>
      <c r="E78" s="141">
        <v>82.5</v>
      </c>
      <c r="F78" s="165">
        <v>57.56089999999999</v>
      </c>
      <c r="G78" s="114">
        <f t="shared" si="18"/>
        <v>4748.7742499999995</v>
      </c>
      <c r="H78" s="141">
        <f>ROUND(VLOOKUP(B78,'MEMÓRIA DE CÁLCULO'!$C$8:$P$1924,13,FALSE),2)</f>
        <v>0</v>
      </c>
      <c r="I78" s="140">
        <f>ROUND(H78*F78,2)</f>
        <v>0</v>
      </c>
      <c r="J78" s="115">
        <v>0</v>
      </c>
      <c r="K78" s="140">
        <f>ROUND(J78*F78,2)</f>
        <v>0</v>
      </c>
      <c r="L78" s="115">
        <f t="shared" si="44"/>
        <v>82.5</v>
      </c>
      <c r="M78" s="114">
        <f t="shared" si="22"/>
        <v>4748.7742499999995</v>
      </c>
      <c r="N78" s="142">
        <f>ROUND(J78/E78,4)</f>
        <v>0</v>
      </c>
      <c r="P78" s="90">
        <f t="shared" si="0"/>
        <v>4748.7742499999995</v>
      </c>
      <c r="Q78" s="90">
        <f t="shared" si="1"/>
        <v>0</v>
      </c>
    </row>
    <row r="79" spans="2:17" ht="28.5" outlineLevel="1" x14ac:dyDescent="0.25">
      <c r="B79" s="55" t="s">
        <v>196</v>
      </c>
      <c r="C79" s="58" t="s">
        <v>197</v>
      </c>
      <c r="D79" s="59" t="s">
        <v>63</v>
      </c>
      <c r="E79" s="115">
        <v>1147</v>
      </c>
      <c r="F79" s="116">
        <v>5.5723849999999997</v>
      </c>
      <c r="G79" s="114">
        <f t="shared" si="18"/>
        <v>6391.5255950000001</v>
      </c>
      <c r="H79" s="141">
        <f>ROUND(VLOOKUP(B79,'MEMÓRIA DE CÁLCULO'!$C$8:$P$1924,13,FALSE),2)</f>
        <v>0</v>
      </c>
      <c r="I79" s="140">
        <f t="shared" ref="I79" si="48">ROUND(H79*F79,2)</f>
        <v>0</v>
      </c>
      <c r="J79" s="117">
        <f>376+H79</f>
        <v>376</v>
      </c>
      <c r="K79" s="140">
        <f t="shared" ref="K79" si="49">ROUND(J79*F79,2)</f>
        <v>2095.2199999999998</v>
      </c>
      <c r="L79" s="115">
        <f t="shared" si="44"/>
        <v>771</v>
      </c>
      <c r="M79" s="114">
        <f t="shared" si="22"/>
        <v>4296.3088349999998</v>
      </c>
      <c r="N79" s="142">
        <f t="shared" ref="N79" si="50">ROUND(J79/E79,4)</f>
        <v>0.32779999999999998</v>
      </c>
      <c r="P79" s="90">
        <f t="shared" si="0"/>
        <v>6391.5288349999992</v>
      </c>
      <c r="Q79" s="90">
        <f t="shared" si="1"/>
        <v>3.239999999095744E-3</v>
      </c>
    </row>
    <row r="80" spans="2:17" ht="15" x14ac:dyDescent="0.25">
      <c r="B80" s="48" t="s">
        <v>27</v>
      </c>
      <c r="C80" s="49" t="s">
        <v>96</v>
      </c>
      <c r="D80" s="50"/>
      <c r="E80" s="119"/>
      <c r="F80" s="120"/>
      <c r="G80" s="106">
        <f>SUBTOTAL(9,G81:G84)</f>
        <v>5550.3404</v>
      </c>
      <c r="H80" s="107"/>
      <c r="I80" s="106">
        <f>ROUND(SUBTOTAL(9,I81:I84),2)</f>
        <v>0</v>
      </c>
      <c r="J80" s="322">
        <v>0</v>
      </c>
      <c r="K80" s="106">
        <f>ROUND(SUBTOTAL(9,K81:K84),2)</f>
        <v>5550.34</v>
      </c>
      <c r="L80" s="107"/>
      <c r="M80" s="106">
        <f>ROUND(SUBTOTAL(9,M81:M84),2)</f>
        <v>0</v>
      </c>
      <c r="N80" s="133"/>
      <c r="P80" s="90">
        <f t="shared" ref="P80:P109" si="51">K80+M80</f>
        <v>5550.34</v>
      </c>
      <c r="Q80" s="90">
        <f t="shared" ref="Q80:Q109" si="52">P80-G80</f>
        <v>-3.9999999989959178E-4</v>
      </c>
    </row>
    <row r="81" spans="2:17" ht="15" outlineLevel="1" x14ac:dyDescent="0.25">
      <c r="B81" s="65"/>
      <c r="C81" s="63" t="s">
        <v>198</v>
      </c>
      <c r="D81" s="64"/>
      <c r="E81" s="121"/>
      <c r="F81" s="122"/>
      <c r="G81" s="123"/>
      <c r="H81" s="124"/>
      <c r="I81" s="126"/>
      <c r="J81" s="121">
        <v>0</v>
      </c>
      <c r="K81" s="126"/>
      <c r="L81" s="124"/>
      <c r="M81" s="126"/>
      <c r="N81" s="134"/>
      <c r="P81" s="90">
        <f t="shared" si="51"/>
        <v>0</v>
      </c>
      <c r="Q81" s="90">
        <f t="shared" si="52"/>
        <v>0</v>
      </c>
    </row>
    <row r="82" spans="2:17" ht="15" outlineLevel="1" x14ac:dyDescent="0.25">
      <c r="B82" s="55" t="s">
        <v>202</v>
      </c>
      <c r="C82" s="58" t="s">
        <v>199</v>
      </c>
      <c r="D82" s="59" t="s">
        <v>204</v>
      </c>
      <c r="E82" s="112">
        <v>60</v>
      </c>
      <c r="F82" s="116">
        <v>50.457639999999998</v>
      </c>
      <c r="G82" s="114">
        <f t="shared" ref="G82" si="53">E82*F82</f>
        <v>3027.4584</v>
      </c>
      <c r="H82" s="115">
        <f>ROUND(VLOOKUP(B82,'MEMÓRIA DE CÁLCULO'!$C$8:$P$1924,13,FALSE),2)</f>
        <v>0</v>
      </c>
      <c r="I82" s="114">
        <f t="shared" ref="I82:I84" si="54">ROUND(H82*F82,2)</f>
        <v>0</v>
      </c>
      <c r="J82" s="115">
        <f>60+H82</f>
        <v>60</v>
      </c>
      <c r="K82" s="114">
        <f t="shared" ref="K82:K84" si="55">ROUND(J82*F82,2)</f>
        <v>3027.46</v>
      </c>
      <c r="L82" s="115">
        <f>E82-J82</f>
        <v>0</v>
      </c>
      <c r="M82" s="114">
        <f t="shared" ref="M82" si="56">L82*F82</f>
        <v>0</v>
      </c>
      <c r="N82" s="132">
        <f t="shared" ref="N82:N84" si="57">ROUND(J82/E82,4)</f>
        <v>1</v>
      </c>
      <c r="P82" s="90">
        <f t="shared" si="51"/>
        <v>3027.46</v>
      </c>
      <c r="Q82" s="90">
        <f t="shared" si="52"/>
        <v>1.6000000000531145E-3</v>
      </c>
    </row>
    <row r="83" spans="2:17" ht="15" outlineLevel="1" x14ac:dyDescent="0.25">
      <c r="B83" s="65"/>
      <c r="C83" s="66" t="s">
        <v>200</v>
      </c>
      <c r="D83" s="67"/>
      <c r="E83" s="124"/>
      <c r="F83" s="125"/>
      <c r="G83" s="126"/>
      <c r="H83" s="124"/>
      <c r="I83" s="126"/>
      <c r="J83" s="124">
        <v>0</v>
      </c>
      <c r="K83" s="126"/>
      <c r="L83" s="124"/>
      <c r="M83" s="126"/>
      <c r="N83" s="134"/>
      <c r="P83" s="90">
        <f t="shared" si="51"/>
        <v>0</v>
      </c>
      <c r="Q83" s="90">
        <f t="shared" si="52"/>
        <v>0</v>
      </c>
    </row>
    <row r="84" spans="2:17" ht="15" outlineLevel="1" x14ac:dyDescent="0.25">
      <c r="B84" s="55" t="s">
        <v>203</v>
      </c>
      <c r="C84" s="58" t="s">
        <v>201</v>
      </c>
      <c r="D84" s="59" t="s">
        <v>204</v>
      </c>
      <c r="E84" s="115">
        <v>50</v>
      </c>
      <c r="F84" s="116">
        <v>50.457639999999998</v>
      </c>
      <c r="G84" s="114">
        <f t="shared" ref="G84" si="58">E84*F84</f>
        <v>2522.8820000000001</v>
      </c>
      <c r="H84" s="115">
        <f>ROUND(VLOOKUP(B84,'MEMÓRIA DE CÁLCULO'!$C$8:$P$1924,13,FALSE),2)</f>
        <v>0</v>
      </c>
      <c r="I84" s="114">
        <f t="shared" si="54"/>
        <v>0</v>
      </c>
      <c r="J84" s="117">
        <f>50+H84</f>
        <v>50</v>
      </c>
      <c r="K84" s="114">
        <f t="shared" si="55"/>
        <v>2522.88</v>
      </c>
      <c r="L84" s="115">
        <f>E84-J84</f>
        <v>0</v>
      </c>
      <c r="M84" s="114">
        <f t="shared" ref="M84" si="59">L84*F84</f>
        <v>0</v>
      </c>
      <c r="N84" s="132">
        <f t="shared" si="57"/>
        <v>1</v>
      </c>
      <c r="P84" s="90">
        <f t="shared" si="51"/>
        <v>2522.88</v>
      </c>
      <c r="Q84" s="90">
        <f t="shared" si="52"/>
        <v>-1.9999999999527063E-3</v>
      </c>
    </row>
    <row r="85" spans="2:17" ht="15" x14ac:dyDescent="0.25">
      <c r="B85" s="48" t="s">
        <v>28</v>
      </c>
      <c r="C85" s="49" t="s">
        <v>97</v>
      </c>
      <c r="D85" s="50"/>
      <c r="E85" s="119"/>
      <c r="F85" s="120"/>
      <c r="G85" s="106">
        <f>SUBTOTAL(9,G86:G95)</f>
        <v>27950.6269641488</v>
      </c>
      <c r="H85" s="107"/>
      <c r="I85" s="106">
        <f>ROUND(SUBTOTAL(9,I86:I95),2)</f>
        <v>1386.78</v>
      </c>
      <c r="J85" s="322">
        <v>0</v>
      </c>
      <c r="K85" s="106">
        <f>ROUND(SUBTOTAL(9,K86:K95),2)</f>
        <v>18310.79</v>
      </c>
      <c r="L85" s="107"/>
      <c r="M85" s="106">
        <f>ROUND(SUBTOTAL(9,M86:M95),2)</f>
        <v>9639.84</v>
      </c>
      <c r="N85" s="133"/>
      <c r="P85" s="90">
        <f t="shared" si="51"/>
        <v>27950.63</v>
      </c>
      <c r="Q85" s="90">
        <f t="shared" si="52"/>
        <v>3.0358512012753636E-3</v>
      </c>
    </row>
    <row r="86" spans="2:17" ht="28.5" outlineLevel="1" x14ac:dyDescent="0.25">
      <c r="B86" s="52" t="s">
        <v>215</v>
      </c>
      <c r="C86" s="53" t="s">
        <v>205</v>
      </c>
      <c r="D86" s="54" t="s">
        <v>66</v>
      </c>
      <c r="E86" s="108">
        <v>8.6384000000000007</v>
      </c>
      <c r="F86" s="109">
        <v>314.51520700000003</v>
      </c>
      <c r="G86" s="114">
        <f t="shared" ref="G86" si="60">E86*F86</f>
        <v>2716.9081641488006</v>
      </c>
      <c r="H86" s="115">
        <f>ROUND(VLOOKUP(B86,'MEMÓRIA DE CÁLCULO'!$C$8:$P$1924,13,FALSE),2)</f>
        <v>0.25</v>
      </c>
      <c r="I86" s="114">
        <f>ROUND(H86*F86,2)</f>
        <v>78.63</v>
      </c>
      <c r="J86" s="108">
        <f>1.23+H86</f>
        <v>1.48</v>
      </c>
      <c r="K86" s="114">
        <f>ROUND(J86*F86,2)</f>
        <v>465.48</v>
      </c>
      <c r="L86" s="115">
        <f>E86-J86</f>
        <v>7.1584000000000003</v>
      </c>
      <c r="M86" s="114">
        <f t="shared" ref="M86" si="61">L86*F86</f>
        <v>2251.4256577888004</v>
      </c>
      <c r="N86" s="132">
        <f>ROUND(J86/E86,4)</f>
        <v>0.17130000000000001</v>
      </c>
      <c r="P86" s="90">
        <f t="shared" si="51"/>
        <v>2716.9056577888005</v>
      </c>
      <c r="Q86" s="90">
        <f t="shared" si="52"/>
        <v>-2.5063600000976294E-3</v>
      </c>
    </row>
    <row r="87" spans="2:17" ht="28.5" outlineLevel="1" x14ac:dyDescent="0.25">
      <c r="B87" s="65"/>
      <c r="C87" s="66" t="s">
        <v>206</v>
      </c>
      <c r="D87" s="67"/>
      <c r="E87" s="124"/>
      <c r="F87" s="125"/>
      <c r="G87" s="126"/>
      <c r="H87" s="124"/>
      <c r="I87" s="126"/>
      <c r="J87" s="124">
        <v>0</v>
      </c>
      <c r="K87" s="126"/>
      <c r="L87" s="124"/>
      <c r="M87" s="126"/>
      <c r="N87" s="134"/>
      <c r="P87" s="90">
        <f t="shared" si="51"/>
        <v>0</v>
      </c>
      <c r="Q87" s="90">
        <f t="shared" si="52"/>
        <v>0</v>
      </c>
    </row>
    <row r="88" spans="2:17" ht="15" outlineLevel="1" x14ac:dyDescent="0.25">
      <c r="B88" s="55" t="s">
        <v>216</v>
      </c>
      <c r="C88" s="58" t="s">
        <v>207</v>
      </c>
      <c r="D88" s="59" t="s">
        <v>63</v>
      </c>
      <c r="E88" s="115">
        <v>18</v>
      </c>
      <c r="F88" s="116">
        <v>69.991604999999993</v>
      </c>
      <c r="G88" s="114">
        <f t="shared" ref="G88" si="62">E88*F88</f>
        <v>1259.8488899999998</v>
      </c>
      <c r="H88" s="471">
        <f>ROUND(VLOOKUP(B88,'MEMÓRIA DE CÁLCULO'!$C$8:$P$1924,13,FALSE),2)</f>
        <v>0</v>
      </c>
      <c r="I88" s="114">
        <f t="shared" ref="I88:I95" si="63">ROUND(H88*F88,2)</f>
        <v>0</v>
      </c>
      <c r="J88" s="115">
        <f>18+H88</f>
        <v>18</v>
      </c>
      <c r="K88" s="114">
        <f t="shared" ref="K88:K95" si="64">ROUND(J88*F88,2)</f>
        <v>1259.8499999999999</v>
      </c>
      <c r="L88" s="115">
        <f>E88-J88</f>
        <v>0</v>
      </c>
      <c r="M88" s="114">
        <f t="shared" ref="M88" si="65">L88*F88</f>
        <v>0</v>
      </c>
      <c r="N88" s="132">
        <f t="shared" ref="N88:N95" si="66">ROUND(J88/E88,4)</f>
        <v>1</v>
      </c>
      <c r="P88" s="90">
        <f t="shared" si="51"/>
        <v>1259.8499999999999</v>
      </c>
      <c r="Q88" s="90">
        <f t="shared" si="52"/>
        <v>1.1100000001533772E-3</v>
      </c>
    </row>
    <row r="89" spans="2:17" ht="28.5" outlineLevel="1" x14ac:dyDescent="0.25">
      <c r="B89" s="65"/>
      <c r="C89" s="66" t="s">
        <v>208</v>
      </c>
      <c r="D89" s="67"/>
      <c r="E89" s="124"/>
      <c r="F89" s="125"/>
      <c r="G89" s="126"/>
      <c r="H89" s="124"/>
      <c r="I89" s="126"/>
      <c r="J89" s="124">
        <v>0</v>
      </c>
      <c r="K89" s="126"/>
      <c r="L89" s="124"/>
      <c r="M89" s="126"/>
      <c r="N89" s="134"/>
      <c r="P89" s="90">
        <f t="shared" si="51"/>
        <v>0</v>
      </c>
      <c r="Q89" s="90">
        <f t="shared" si="52"/>
        <v>0</v>
      </c>
    </row>
    <row r="90" spans="2:17" ht="15" outlineLevel="1" x14ac:dyDescent="0.25">
      <c r="B90" s="55" t="s">
        <v>217</v>
      </c>
      <c r="C90" s="58" t="s">
        <v>209</v>
      </c>
      <c r="D90" s="59" t="s">
        <v>221</v>
      </c>
      <c r="E90" s="115">
        <v>1400</v>
      </c>
      <c r="F90" s="116">
        <v>7.9360559999999989</v>
      </c>
      <c r="G90" s="114">
        <f t="shared" ref="G90" si="67">E90*F90</f>
        <v>11110.478399999998</v>
      </c>
      <c r="H90" s="115">
        <f>ROUND(VLOOKUP(B90,'MEMÓRIA DE CÁLCULO'!$C$8:$P$1924,13,FALSE),2)</f>
        <v>164.65</v>
      </c>
      <c r="I90" s="114">
        <f t="shared" si="63"/>
        <v>1306.67</v>
      </c>
      <c r="J90" s="115">
        <f>646.93+H90</f>
        <v>811.57999999999993</v>
      </c>
      <c r="K90" s="114">
        <f t="shared" si="64"/>
        <v>6440.74</v>
      </c>
      <c r="L90" s="115">
        <f>E90-J90</f>
        <v>588.42000000000007</v>
      </c>
      <c r="M90" s="114">
        <f t="shared" ref="M90" si="68">L90*F90</f>
        <v>4669.7340715199998</v>
      </c>
      <c r="N90" s="132">
        <f t="shared" si="66"/>
        <v>0.57969999999999999</v>
      </c>
      <c r="P90" s="90">
        <f t="shared" si="51"/>
        <v>11110.474071519999</v>
      </c>
      <c r="Q90" s="90">
        <f t="shared" si="52"/>
        <v>-4.3284799994580681E-3</v>
      </c>
    </row>
    <row r="91" spans="2:17" ht="15" outlineLevel="1" x14ac:dyDescent="0.25">
      <c r="B91" s="65"/>
      <c r="C91" s="66" t="s">
        <v>210</v>
      </c>
      <c r="D91" s="67"/>
      <c r="E91" s="124"/>
      <c r="F91" s="125"/>
      <c r="G91" s="126"/>
      <c r="H91" s="124"/>
      <c r="I91" s="126"/>
      <c r="J91" s="124">
        <v>0</v>
      </c>
      <c r="K91" s="126"/>
      <c r="L91" s="124"/>
      <c r="M91" s="126"/>
      <c r="N91" s="134"/>
      <c r="P91" s="90">
        <f t="shared" si="51"/>
        <v>0</v>
      </c>
      <c r="Q91" s="90">
        <f t="shared" si="52"/>
        <v>0</v>
      </c>
    </row>
    <row r="92" spans="2:17" ht="15" outlineLevel="1" x14ac:dyDescent="0.25">
      <c r="B92" s="55" t="s">
        <v>218</v>
      </c>
      <c r="C92" s="58" t="s">
        <v>211</v>
      </c>
      <c r="D92" s="59" t="s">
        <v>66</v>
      </c>
      <c r="E92" s="115">
        <v>14</v>
      </c>
      <c r="F92" s="116">
        <v>451.14273900000001</v>
      </c>
      <c r="G92" s="114">
        <f t="shared" ref="G92:G126" si="69">E92*F92</f>
        <v>6315.9983460000003</v>
      </c>
      <c r="H92" s="115">
        <f>ROUND(VLOOKUP(B92,'MEMÓRIA DE CÁLCULO'!$C$8:$P$1924,13,FALSE),2)</f>
        <v>0</v>
      </c>
      <c r="I92" s="114">
        <f t="shared" si="63"/>
        <v>0</v>
      </c>
      <c r="J92" s="115">
        <f>14+H92</f>
        <v>14</v>
      </c>
      <c r="K92" s="114">
        <f t="shared" si="64"/>
        <v>6316</v>
      </c>
      <c r="L92" s="115">
        <f t="shared" ref="L92:L93" si="70">E92-J92</f>
        <v>0</v>
      </c>
      <c r="M92" s="114">
        <f t="shared" ref="M92:M95" si="71">L92*F92</f>
        <v>0</v>
      </c>
      <c r="N92" s="132">
        <f t="shared" si="66"/>
        <v>1</v>
      </c>
      <c r="P92" s="90">
        <f t="shared" si="51"/>
        <v>6316</v>
      </c>
      <c r="Q92" s="90">
        <f t="shared" si="52"/>
        <v>1.6539999996894039E-3</v>
      </c>
    </row>
    <row r="93" spans="2:17" ht="42.75" outlineLevel="1" x14ac:dyDescent="0.25">
      <c r="B93" s="55" t="s">
        <v>219</v>
      </c>
      <c r="C93" s="58" t="s">
        <v>212</v>
      </c>
      <c r="D93" s="59" t="s">
        <v>222</v>
      </c>
      <c r="E93" s="115">
        <v>28</v>
      </c>
      <c r="F93" s="116">
        <v>4.7640829999999994</v>
      </c>
      <c r="G93" s="114">
        <f t="shared" si="69"/>
        <v>133.39432399999998</v>
      </c>
      <c r="H93" s="115">
        <f>ROUND(VLOOKUP(B93,'MEMÓRIA DE CÁLCULO'!$C$8:$P$1924,13,FALSE),2)</f>
        <v>0.31</v>
      </c>
      <c r="I93" s="114">
        <f t="shared" si="63"/>
        <v>1.48</v>
      </c>
      <c r="J93" s="115">
        <f>22.72+H93</f>
        <v>23.029999999999998</v>
      </c>
      <c r="K93" s="114">
        <f t="shared" si="64"/>
        <v>109.72</v>
      </c>
      <c r="L93" s="115">
        <f t="shared" si="70"/>
        <v>4.9700000000000024</v>
      </c>
      <c r="M93" s="114">
        <f t="shared" si="71"/>
        <v>23.677492510000008</v>
      </c>
      <c r="N93" s="132">
        <f t="shared" si="66"/>
        <v>0.82250000000000001</v>
      </c>
      <c r="P93" s="90">
        <f t="shared" si="51"/>
        <v>133.39749251000001</v>
      </c>
      <c r="Q93" s="90">
        <f t="shared" si="52"/>
        <v>3.1685100000231614E-3</v>
      </c>
    </row>
    <row r="94" spans="2:17" ht="28.5" outlineLevel="1" x14ac:dyDescent="0.25">
      <c r="B94" s="55" t="s">
        <v>219</v>
      </c>
      <c r="C94" s="58" t="s">
        <v>213</v>
      </c>
      <c r="D94" s="59" t="s">
        <v>106</v>
      </c>
      <c r="E94" s="115">
        <v>1</v>
      </c>
      <c r="F94" s="116">
        <v>857.29</v>
      </c>
      <c r="G94" s="114">
        <f t="shared" si="69"/>
        <v>857.29</v>
      </c>
      <c r="H94" s="115"/>
      <c r="I94" s="114">
        <f t="shared" si="63"/>
        <v>0</v>
      </c>
      <c r="J94" s="115">
        <f>1+H94</f>
        <v>1</v>
      </c>
      <c r="K94" s="114">
        <f t="shared" si="64"/>
        <v>857.29</v>
      </c>
      <c r="L94" s="115">
        <f>E94-J94</f>
        <v>0</v>
      </c>
      <c r="M94" s="114">
        <f t="shared" si="71"/>
        <v>0</v>
      </c>
      <c r="N94" s="132">
        <f t="shared" si="66"/>
        <v>1</v>
      </c>
      <c r="P94" s="90">
        <f t="shared" si="51"/>
        <v>857.29</v>
      </c>
      <c r="Q94" s="90">
        <f t="shared" si="52"/>
        <v>0</v>
      </c>
    </row>
    <row r="95" spans="2:17" ht="28.5" outlineLevel="1" x14ac:dyDescent="0.25">
      <c r="B95" s="55" t="s">
        <v>220</v>
      </c>
      <c r="C95" s="58" t="s">
        <v>214</v>
      </c>
      <c r="D95" s="59" t="s">
        <v>65</v>
      </c>
      <c r="E95" s="115">
        <v>60</v>
      </c>
      <c r="F95" s="116">
        <v>92.611813999999995</v>
      </c>
      <c r="G95" s="114">
        <f t="shared" si="69"/>
        <v>5556.7088399999993</v>
      </c>
      <c r="H95" s="115">
        <f>ROUND(VLOOKUP(B95,'MEMÓRIA DE CÁLCULO'!$C$8:$P$1924,13,FALSE),2)</f>
        <v>0</v>
      </c>
      <c r="I95" s="114">
        <f t="shared" si="63"/>
        <v>0</v>
      </c>
      <c r="J95" s="117">
        <f>30.9+H95</f>
        <v>30.9</v>
      </c>
      <c r="K95" s="114">
        <f t="shared" si="64"/>
        <v>2861.71</v>
      </c>
      <c r="L95" s="115">
        <f>E95-J95</f>
        <v>29.1</v>
      </c>
      <c r="M95" s="114">
        <f t="shared" si="71"/>
        <v>2695.0037874</v>
      </c>
      <c r="N95" s="132">
        <f t="shared" si="66"/>
        <v>0.51500000000000001</v>
      </c>
      <c r="P95" s="90">
        <f t="shared" si="51"/>
        <v>5556.7137874</v>
      </c>
      <c r="Q95" s="90">
        <f t="shared" si="52"/>
        <v>4.9474000006739516E-3</v>
      </c>
    </row>
    <row r="96" spans="2:17" ht="15" x14ac:dyDescent="0.25">
      <c r="B96" s="48" t="s">
        <v>29</v>
      </c>
      <c r="C96" s="49" t="s">
        <v>98</v>
      </c>
      <c r="D96" s="68"/>
      <c r="E96" s="119"/>
      <c r="F96" s="120"/>
      <c r="G96" s="106">
        <f>SUBTOTAL(9,G97:G110)</f>
        <v>582902.42161840003</v>
      </c>
      <c r="H96" s="107"/>
      <c r="I96" s="106">
        <f>ROUND(SUBTOTAL(9,I97:I110),2)</f>
        <v>18292.11</v>
      </c>
      <c r="J96" s="322">
        <v>0</v>
      </c>
      <c r="K96" s="106">
        <f>ROUND(SUBTOTAL(9,K97:K110),2)</f>
        <v>255010.93</v>
      </c>
      <c r="L96" s="107"/>
      <c r="M96" s="106">
        <f>ROUND(SUBTOTAL(9,M97:M110),2)</f>
        <v>327891.49</v>
      </c>
      <c r="N96" s="133"/>
      <c r="P96" s="90">
        <f t="shared" si="51"/>
        <v>582902.41999999993</v>
      </c>
      <c r="Q96" s="90">
        <f t="shared" si="52"/>
        <v>-1.6184000996872783E-3</v>
      </c>
    </row>
    <row r="97" spans="2:17" ht="85.5" outlineLevel="1" x14ac:dyDescent="0.25">
      <c r="B97" s="69" t="s">
        <v>224</v>
      </c>
      <c r="C97" s="56" t="s">
        <v>225</v>
      </c>
      <c r="D97" s="57" t="s">
        <v>64</v>
      </c>
      <c r="E97" s="112">
        <v>30</v>
      </c>
      <c r="F97" s="113">
        <v>1307.3672499999998</v>
      </c>
      <c r="G97" s="114">
        <f t="shared" si="69"/>
        <v>39221.017499999994</v>
      </c>
      <c r="H97" s="115">
        <f>ROUND(VLOOKUP(B97,'MEMÓRIA DE CÁLCULO'!$C$8:$P$1924,13,FALSE),2)</f>
        <v>0</v>
      </c>
      <c r="I97" s="114">
        <f>ROUND(H97*F97,2)</f>
        <v>0</v>
      </c>
      <c r="J97" s="108">
        <f>30+H97</f>
        <v>30</v>
      </c>
      <c r="K97" s="114">
        <f>ROUND(J97*F97,2)</f>
        <v>39221.019999999997</v>
      </c>
      <c r="L97" s="115">
        <f t="shared" ref="L97:L105" si="72">E97-J97</f>
        <v>0</v>
      </c>
      <c r="M97" s="114">
        <f t="shared" ref="M97:M105" si="73">L97*F97</f>
        <v>0</v>
      </c>
      <c r="N97" s="132">
        <f>ROUND(J97/E97,4)</f>
        <v>1</v>
      </c>
      <c r="P97" s="90">
        <f t="shared" si="51"/>
        <v>39221.019999999997</v>
      </c>
      <c r="Q97" s="90">
        <f t="shared" si="52"/>
        <v>2.5000000023283064E-3</v>
      </c>
    </row>
    <row r="98" spans="2:17" ht="57" outlineLevel="1" x14ac:dyDescent="0.25">
      <c r="B98" s="55" t="s">
        <v>226</v>
      </c>
      <c r="C98" s="58" t="s">
        <v>227</v>
      </c>
      <c r="D98" s="59" t="s">
        <v>63</v>
      </c>
      <c r="E98" s="115">
        <v>24</v>
      </c>
      <c r="F98" s="116">
        <v>2130.9780000000001</v>
      </c>
      <c r="G98" s="114">
        <f t="shared" si="69"/>
        <v>51143.472000000002</v>
      </c>
      <c r="H98" s="115">
        <f>ROUND(VLOOKUP(B98,'MEMÓRIA DE CÁLCULO'!$C$8:$P$1924,13,FALSE),2)</f>
        <v>1.8</v>
      </c>
      <c r="I98" s="114">
        <f t="shared" ref="I98:I110" si="74">ROUND(H98*F98,2)</f>
        <v>3835.76</v>
      </c>
      <c r="J98" s="115">
        <f>16.31+H98</f>
        <v>18.11</v>
      </c>
      <c r="K98" s="114">
        <f t="shared" ref="K98:K110" si="75">ROUND(J98*F98,2)</f>
        <v>38592.01</v>
      </c>
      <c r="L98" s="115">
        <f t="shared" si="72"/>
        <v>5.8900000000000006</v>
      </c>
      <c r="M98" s="114">
        <f t="shared" si="73"/>
        <v>12551.460420000001</v>
      </c>
      <c r="N98" s="132">
        <f t="shared" ref="N98:N110" si="76">ROUND(J98/E98,4)</f>
        <v>0.75460000000000005</v>
      </c>
      <c r="P98" s="90">
        <f t="shared" si="51"/>
        <v>51143.470420000005</v>
      </c>
      <c r="Q98" s="90">
        <f t="shared" si="52"/>
        <v>-1.5799999964656308E-3</v>
      </c>
    </row>
    <row r="99" spans="2:17" ht="15" outlineLevel="1" x14ac:dyDescent="0.25">
      <c r="B99" s="55" t="s">
        <v>228</v>
      </c>
      <c r="C99" s="58" t="s">
        <v>229</v>
      </c>
      <c r="D99" s="59" t="s">
        <v>65</v>
      </c>
      <c r="E99" s="115">
        <v>32</v>
      </c>
      <c r="F99" s="116">
        <v>70.505978999999996</v>
      </c>
      <c r="G99" s="114">
        <f t="shared" si="69"/>
        <v>2256.1913279999999</v>
      </c>
      <c r="H99" s="115">
        <f>ROUND(VLOOKUP(B99,'MEMÓRIA DE CÁLCULO'!$C$8:$P$1924,13,FALSE),2)</f>
        <v>0</v>
      </c>
      <c r="I99" s="114">
        <f t="shared" si="74"/>
        <v>0</v>
      </c>
      <c r="J99" s="115">
        <f>32+H99</f>
        <v>32</v>
      </c>
      <c r="K99" s="114">
        <f t="shared" si="75"/>
        <v>2256.19</v>
      </c>
      <c r="L99" s="115">
        <f t="shared" si="72"/>
        <v>0</v>
      </c>
      <c r="M99" s="114">
        <f t="shared" si="73"/>
        <v>0</v>
      </c>
      <c r="N99" s="132">
        <f t="shared" si="76"/>
        <v>1</v>
      </c>
      <c r="P99" s="90">
        <f t="shared" si="51"/>
        <v>2256.19</v>
      </c>
      <c r="Q99" s="90">
        <f t="shared" si="52"/>
        <v>-1.3279999998303538E-3</v>
      </c>
    </row>
    <row r="100" spans="2:17" ht="15" outlineLevel="1" x14ac:dyDescent="0.25">
      <c r="B100" s="55" t="s">
        <v>230</v>
      </c>
      <c r="C100" s="58" t="s">
        <v>231</v>
      </c>
      <c r="D100" s="59" t="s">
        <v>106</v>
      </c>
      <c r="E100" s="115">
        <v>400</v>
      </c>
      <c r="F100" s="116">
        <v>10.201751</v>
      </c>
      <c r="G100" s="114">
        <f t="shared" si="69"/>
        <v>4080.7003999999997</v>
      </c>
      <c r="H100" s="115">
        <f>ROUND(VLOOKUP(B100,'MEMÓRIA DE CÁLCULO'!$C$8:$P$1924,13,FALSE),2)</f>
        <v>0</v>
      </c>
      <c r="I100" s="114">
        <f t="shared" si="74"/>
        <v>0</v>
      </c>
      <c r="J100" s="115">
        <f>400+H100</f>
        <v>400</v>
      </c>
      <c r="K100" s="114">
        <f t="shared" si="75"/>
        <v>4080.7</v>
      </c>
      <c r="L100" s="115">
        <f t="shared" si="72"/>
        <v>0</v>
      </c>
      <c r="M100" s="114">
        <f t="shared" si="73"/>
        <v>0</v>
      </c>
      <c r="N100" s="132">
        <f t="shared" si="76"/>
        <v>1</v>
      </c>
      <c r="P100" s="90">
        <f t="shared" si="51"/>
        <v>4080.7</v>
      </c>
      <c r="Q100" s="90">
        <f t="shared" si="52"/>
        <v>-3.9999999989959178E-4</v>
      </c>
    </row>
    <row r="101" spans="2:17" ht="28.5" outlineLevel="1" x14ac:dyDescent="0.25">
      <c r="B101" s="55" t="s">
        <v>232</v>
      </c>
      <c r="C101" s="58" t="s">
        <v>233</v>
      </c>
      <c r="D101" s="59" t="s">
        <v>234</v>
      </c>
      <c r="E101" s="115">
        <v>5000</v>
      </c>
      <c r="F101" s="116">
        <v>26.771941999999999</v>
      </c>
      <c r="G101" s="114">
        <f t="shared" si="69"/>
        <v>133859.71</v>
      </c>
      <c r="H101" s="115">
        <f>ROUND(VLOOKUP(B101,'MEMÓRIA DE CÁLCULO'!$C$8:$P$1924,13,FALSE),2)</f>
        <v>0</v>
      </c>
      <c r="I101" s="114">
        <f t="shared" si="74"/>
        <v>0</v>
      </c>
      <c r="J101" s="115">
        <f>5000+H101</f>
        <v>5000</v>
      </c>
      <c r="K101" s="114">
        <f t="shared" si="75"/>
        <v>133859.71</v>
      </c>
      <c r="L101" s="115">
        <f t="shared" si="72"/>
        <v>0</v>
      </c>
      <c r="M101" s="114">
        <f t="shared" si="73"/>
        <v>0</v>
      </c>
      <c r="N101" s="132">
        <f t="shared" si="76"/>
        <v>1</v>
      </c>
      <c r="P101" s="90">
        <f t="shared" si="51"/>
        <v>133859.71</v>
      </c>
      <c r="Q101" s="90">
        <f t="shared" si="52"/>
        <v>0</v>
      </c>
    </row>
    <row r="102" spans="2:17" ht="42.75" outlineLevel="1" x14ac:dyDescent="0.25">
      <c r="B102" s="645" t="s">
        <v>235</v>
      </c>
      <c r="C102" s="58" t="s">
        <v>236</v>
      </c>
      <c r="D102" s="59" t="s">
        <v>66</v>
      </c>
      <c r="E102" s="115">
        <v>26</v>
      </c>
      <c r="F102" s="116">
        <v>11144.77</v>
      </c>
      <c r="G102" s="114">
        <f t="shared" si="69"/>
        <v>289764.02</v>
      </c>
      <c r="H102" s="115">
        <f>ROUND(VLOOKUP(B102,'MEMÓRIA DE CÁLCULO'!$C$8:$P$1924,13,FALSE),2)</f>
        <v>0.66</v>
      </c>
      <c r="I102" s="114">
        <f>ROUND(H102*F102,2)</f>
        <v>7355.55</v>
      </c>
      <c r="J102" s="115">
        <f>2.1+H102</f>
        <v>2.7600000000000002</v>
      </c>
      <c r="K102" s="114">
        <f t="shared" ref="K102:K109" si="77">ROUND(J102*F102,2)</f>
        <v>30759.57</v>
      </c>
      <c r="L102" s="115">
        <f t="shared" si="72"/>
        <v>23.24</v>
      </c>
      <c r="M102" s="114">
        <f t="shared" si="73"/>
        <v>259004.45480000001</v>
      </c>
      <c r="N102" s="132">
        <f t="shared" ref="N102:N109" si="78">ROUND(J102/E102,4)</f>
        <v>0.1062</v>
      </c>
      <c r="P102" s="90"/>
      <c r="Q102" s="90"/>
    </row>
    <row r="103" spans="2:17" ht="28.5" outlineLevel="1" x14ac:dyDescent="0.25">
      <c r="B103" s="55" t="s">
        <v>237</v>
      </c>
      <c r="C103" s="58" t="s">
        <v>238</v>
      </c>
      <c r="D103" s="59" t="s">
        <v>65</v>
      </c>
      <c r="E103" s="115">
        <v>65</v>
      </c>
      <c r="F103" s="116">
        <v>3.9067929999999995</v>
      </c>
      <c r="G103" s="114">
        <f t="shared" si="69"/>
        <v>253.94154499999996</v>
      </c>
      <c r="H103" s="115">
        <f>ROUND(VLOOKUP(B103,'MEMÓRIA DE CÁLCULO'!$C$8:$P$1924,13,FALSE),2)</f>
        <v>4.96</v>
      </c>
      <c r="I103" s="114">
        <f t="shared" ref="I103:I109" si="79">ROUND(H103*F103,2)</f>
        <v>19.38</v>
      </c>
      <c r="J103" s="115">
        <f>36.2+H103</f>
        <v>41.160000000000004</v>
      </c>
      <c r="K103" s="114">
        <f t="shared" si="77"/>
        <v>160.80000000000001</v>
      </c>
      <c r="L103" s="115">
        <f t="shared" si="72"/>
        <v>23.839999999999996</v>
      </c>
      <c r="M103" s="114">
        <f t="shared" si="73"/>
        <v>93.137945119999969</v>
      </c>
      <c r="N103" s="132">
        <f t="shared" si="78"/>
        <v>0.63319999999999999</v>
      </c>
      <c r="P103" s="90"/>
      <c r="Q103" s="90"/>
    </row>
    <row r="104" spans="2:17" ht="28.5" outlineLevel="1" x14ac:dyDescent="0.25">
      <c r="B104" s="55" t="s">
        <v>239</v>
      </c>
      <c r="C104" s="58" t="s">
        <v>240</v>
      </c>
      <c r="D104" s="59" t="s">
        <v>63</v>
      </c>
      <c r="E104" s="115">
        <v>1028</v>
      </c>
      <c r="F104" s="116">
        <v>5.9153009999999995</v>
      </c>
      <c r="G104" s="114">
        <f t="shared" si="69"/>
        <v>6080.9294279999995</v>
      </c>
      <c r="H104" s="115">
        <f>ROUND(VLOOKUP(B104,'MEMÓRIA DE CÁLCULO'!$C$8:$P$1924,13,FALSE),2)</f>
        <v>0</v>
      </c>
      <c r="I104" s="114">
        <f t="shared" si="79"/>
        <v>0</v>
      </c>
      <c r="J104" s="115">
        <f>1028+H104</f>
        <v>1028</v>
      </c>
      <c r="K104" s="114">
        <f t="shared" si="77"/>
        <v>6080.93</v>
      </c>
      <c r="L104" s="115">
        <f t="shared" si="72"/>
        <v>0</v>
      </c>
      <c r="M104" s="114">
        <f t="shared" si="73"/>
        <v>0</v>
      </c>
      <c r="N104" s="132">
        <f t="shared" si="78"/>
        <v>1</v>
      </c>
      <c r="P104" s="90"/>
      <c r="Q104" s="90"/>
    </row>
    <row r="105" spans="2:17" ht="57" outlineLevel="1" x14ac:dyDescent="0.25">
      <c r="B105" s="55" t="s">
        <v>241</v>
      </c>
      <c r="C105" s="58" t="s">
        <v>242</v>
      </c>
      <c r="D105" s="59" t="s">
        <v>63</v>
      </c>
      <c r="E105" s="115">
        <v>10</v>
      </c>
      <c r="F105" s="116">
        <v>111.88859199999999</v>
      </c>
      <c r="G105" s="114">
        <f t="shared" si="69"/>
        <v>1118.8859199999999</v>
      </c>
      <c r="H105" s="115">
        <f>ROUND(VLOOKUP(B105,'MEMÓRIA DE CÁLCULO'!$C$8:$P$1924,13,FALSE),2)</f>
        <v>0</v>
      </c>
      <c r="I105" s="114">
        <f t="shared" si="79"/>
        <v>0</v>
      </c>
      <c r="J105" s="115">
        <v>0</v>
      </c>
      <c r="K105" s="114">
        <f t="shared" si="77"/>
        <v>0</v>
      </c>
      <c r="L105" s="115">
        <f t="shared" si="72"/>
        <v>10</v>
      </c>
      <c r="M105" s="114">
        <f t="shared" si="73"/>
        <v>1118.8859199999999</v>
      </c>
      <c r="N105" s="132">
        <f t="shared" si="78"/>
        <v>0</v>
      </c>
      <c r="P105" s="90"/>
      <c r="Q105" s="90"/>
    </row>
    <row r="106" spans="2:17" ht="15" outlineLevel="1" x14ac:dyDescent="0.25">
      <c r="B106" s="65"/>
      <c r="C106" s="66" t="s">
        <v>243</v>
      </c>
      <c r="D106" s="67"/>
      <c r="E106" s="124"/>
      <c r="F106" s="125"/>
      <c r="G106" s="129"/>
      <c r="H106" s="124"/>
      <c r="I106" s="126"/>
      <c r="J106" s="124">
        <v>0</v>
      </c>
      <c r="K106" s="126"/>
      <c r="L106" s="124"/>
      <c r="M106" s="126"/>
      <c r="N106" s="134"/>
      <c r="P106" s="90"/>
      <c r="Q106" s="90"/>
    </row>
    <row r="107" spans="2:17" ht="15" outlineLevel="1" x14ac:dyDescent="0.25">
      <c r="B107" s="55" t="s">
        <v>244</v>
      </c>
      <c r="C107" s="58" t="s">
        <v>245</v>
      </c>
      <c r="D107" s="59" t="s">
        <v>63</v>
      </c>
      <c r="E107" s="115">
        <v>569.24</v>
      </c>
      <c r="F107" s="116">
        <v>65.888859999999994</v>
      </c>
      <c r="G107" s="114">
        <f t="shared" si="69"/>
        <v>37506.574666399996</v>
      </c>
      <c r="H107" s="115">
        <f>ROUND(VLOOKUP(B107,'MEMÓRIA DE CÁLCULO'!$C$8:$P$1924,13,FALSE),2)</f>
        <v>82.65</v>
      </c>
      <c r="I107" s="114">
        <f t="shared" si="79"/>
        <v>5445.71</v>
      </c>
      <c r="J107" s="115">
        <v>0</v>
      </c>
      <c r="K107" s="114">
        <f t="shared" si="77"/>
        <v>0</v>
      </c>
      <c r="L107" s="115">
        <f t="shared" ref="L107:L110" si="80">E107-J107</f>
        <v>569.24</v>
      </c>
      <c r="M107" s="114">
        <f t="shared" ref="M107:M110" si="81">L107*F107</f>
        <v>37506.574666399996</v>
      </c>
      <c r="N107" s="132">
        <f t="shared" si="78"/>
        <v>0</v>
      </c>
      <c r="P107" s="90"/>
      <c r="Q107" s="90"/>
    </row>
    <row r="108" spans="2:17" ht="15" outlineLevel="1" x14ac:dyDescent="0.25">
      <c r="B108" s="55" t="s">
        <v>246</v>
      </c>
      <c r="C108" s="58" t="s">
        <v>247</v>
      </c>
      <c r="D108" s="59" t="s">
        <v>63</v>
      </c>
      <c r="E108" s="115">
        <v>30</v>
      </c>
      <c r="F108" s="116">
        <v>54.52364399999999</v>
      </c>
      <c r="G108" s="114">
        <f t="shared" si="69"/>
        <v>1635.7093199999997</v>
      </c>
      <c r="H108" s="115">
        <f>ROUND(VLOOKUP(B108,'MEMÓRIA DE CÁLCULO'!$C$8:$P$1924,13,FALSE),2)</f>
        <v>30</v>
      </c>
      <c r="I108" s="114">
        <f t="shared" si="79"/>
        <v>1635.71</v>
      </c>
      <c r="J108" s="115">
        <v>0</v>
      </c>
      <c r="K108" s="114">
        <f t="shared" si="77"/>
        <v>0</v>
      </c>
      <c r="L108" s="115">
        <f t="shared" si="80"/>
        <v>30</v>
      </c>
      <c r="M108" s="114">
        <f t="shared" si="81"/>
        <v>1635.7093199999997</v>
      </c>
      <c r="N108" s="132">
        <f t="shared" si="78"/>
        <v>0</v>
      </c>
      <c r="P108" s="90">
        <f t="shared" si="51"/>
        <v>1635.7093199999997</v>
      </c>
      <c r="Q108" s="90">
        <f t="shared" si="52"/>
        <v>0</v>
      </c>
    </row>
    <row r="109" spans="2:17" ht="15" outlineLevel="1" x14ac:dyDescent="0.25">
      <c r="B109" s="55" t="s">
        <v>248</v>
      </c>
      <c r="C109" s="58" t="s">
        <v>249</v>
      </c>
      <c r="D109" s="59" t="s">
        <v>63</v>
      </c>
      <c r="E109" s="115">
        <v>569</v>
      </c>
      <c r="F109" s="116">
        <v>15.027069000000001</v>
      </c>
      <c r="G109" s="114">
        <f t="shared" si="69"/>
        <v>8550.4022610000011</v>
      </c>
      <c r="H109" s="115">
        <f>ROUND(VLOOKUP(B109,'MEMÓRIA DE CÁLCULO'!$C$8:$P$1924,13,FALSE),2)</f>
        <v>0</v>
      </c>
      <c r="I109" s="114">
        <f t="shared" si="79"/>
        <v>0</v>
      </c>
      <c r="J109" s="115">
        <v>0</v>
      </c>
      <c r="K109" s="114">
        <f t="shared" si="77"/>
        <v>0</v>
      </c>
      <c r="L109" s="115">
        <f t="shared" si="80"/>
        <v>569</v>
      </c>
      <c r="M109" s="114">
        <f t="shared" si="81"/>
        <v>8550.4022610000011</v>
      </c>
      <c r="N109" s="132">
        <f t="shared" si="78"/>
        <v>0</v>
      </c>
      <c r="P109" s="90">
        <f t="shared" si="51"/>
        <v>8550.4022610000011</v>
      </c>
      <c r="Q109" s="90">
        <f t="shared" si="52"/>
        <v>0</v>
      </c>
    </row>
    <row r="110" spans="2:17" ht="28.5" outlineLevel="1" x14ac:dyDescent="0.25">
      <c r="B110" s="55" t="s">
        <v>250</v>
      </c>
      <c r="C110" s="58" t="s">
        <v>251</v>
      </c>
      <c r="D110" s="59" t="s">
        <v>65</v>
      </c>
      <c r="E110" s="115">
        <v>250</v>
      </c>
      <c r="F110" s="116">
        <v>29.723469000000001</v>
      </c>
      <c r="G110" s="114">
        <f t="shared" si="69"/>
        <v>7430.8672500000002</v>
      </c>
      <c r="H110" s="115">
        <f>ROUND(VLOOKUP(B110,'MEMÓRIA DE CÁLCULO'!$C$8:$P$1924,13,FALSE),2)</f>
        <v>0</v>
      </c>
      <c r="I110" s="114">
        <f t="shared" si="74"/>
        <v>0</v>
      </c>
      <c r="J110" s="117">
        <v>0</v>
      </c>
      <c r="K110" s="114">
        <f t="shared" si="75"/>
        <v>0</v>
      </c>
      <c r="L110" s="115">
        <f t="shared" si="80"/>
        <v>250</v>
      </c>
      <c r="M110" s="114">
        <f t="shared" si="81"/>
        <v>7430.8672500000002</v>
      </c>
      <c r="N110" s="132">
        <f t="shared" si="76"/>
        <v>0</v>
      </c>
      <c r="P110" s="90">
        <f t="shared" ref="P110:P126" si="82">K110+M110</f>
        <v>7430.8672500000002</v>
      </c>
      <c r="Q110" s="90">
        <f t="shared" ref="Q110:Q126" si="83">P110-G110</f>
        <v>0</v>
      </c>
    </row>
    <row r="111" spans="2:17" ht="30" x14ac:dyDescent="0.25">
      <c r="B111" s="48" t="s">
        <v>30</v>
      </c>
      <c r="C111" s="49" t="s">
        <v>99</v>
      </c>
      <c r="D111" s="50"/>
      <c r="E111" s="119"/>
      <c r="F111" s="120"/>
      <c r="G111" s="106">
        <f>SUBTOTAL(9,G112:G117)</f>
        <v>370932.2584103219</v>
      </c>
      <c r="H111" s="107"/>
      <c r="I111" s="106">
        <f>ROUND(SUBTOTAL(9,I112:I117),2)</f>
        <v>0</v>
      </c>
      <c r="J111" s="322">
        <v>0</v>
      </c>
      <c r="K111" s="106">
        <f>ROUND(SUBTOTAL(9,K112:K117),2)</f>
        <v>39482.410000000003</v>
      </c>
      <c r="L111" s="107"/>
      <c r="M111" s="106">
        <f>ROUND(SUBTOTAL(9,M112:M117),2)</f>
        <v>331449.84999999998</v>
      </c>
      <c r="N111" s="133"/>
      <c r="P111" s="90">
        <f t="shared" si="82"/>
        <v>370932.26</v>
      </c>
      <c r="Q111" s="90">
        <f t="shared" si="83"/>
        <v>1.5896781114861369E-3</v>
      </c>
    </row>
    <row r="112" spans="2:17" ht="28.5" outlineLevel="1" x14ac:dyDescent="0.25">
      <c r="B112" s="69" t="s">
        <v>252</v>
      </c>
      <c r="C112" s="56" t="s">
        <v>253</v>
      </c>
      <c r="D112" s="57" t="s">
        <v>63</v>
      </c>
      <c r="E112" s="112">
        <v>569.24</v>
      </c>
      <c r="F112" s="113">
        <v>67.150300999999985</v>
      </c>
      <c r="G112" s="114">
        <f t="shared" si="69"/>
        <v>38224.637341239992</v>
      </c>
      <c r="H112" s="115">
        <f>ROUND(VLOOKUP(B112,'MEMÓRIA DE CÁLCULO'!$C$8:$P$1924,13,FALSE),2)</f>
        <v>0</v>
      </c>
      <c r="I112" s="114">
        <f t="shared" ref="I112" si="84">ROUND(H112*F112,2)</f>
        <v>0</v>
      </c>
      <c r="J112" s="108">
        <f>569.24+H112</f>
        <v>569.24</v>
      </c>
      <c r="K112" s="114">
        <f t="shared" ref="K112" si="85">ROUND(J112*F112,2)</f>
        <v>38224.639999999999</v>
      </c>
      <c r="L112" s="115">
        <f t="shared" ref="L112:L117" si="86">E112-J112</f>
        <v>0</v>
      </c>
      <c r="M112" s="114">
        <f t="shared" ref="M112:M117" si="87">L112*F112</f>
        <v>0</v>
      </c>
      <c r="N112" s="132">
        <f t="shared" ref="N112" si="88">ROUND(J112/E112,4)</f>
        <v>1</v>
      </c>
      <c r="P112" s="90"/>
      <c r="Q112" s="90"/>
    </row>
    <row r="113" spans="2:19" ht="42.75" outlineLevel="1" x14ac:dyDescent="0.25">
      <c r="B113" s="69" t="s">
        <v>254</v>
      </c>
      <c r="C113" s="56" t="s">
        <v>255</v>
      </c>
      <c r="D113" s="57" t="s">
        <v>66</v>
      </c>
      <c r="E113" s="112">
        <v>26.23</v>
      </c>
      <c r="F113" s="113">
        <v>9675.1299999999992</v>
      </c>
      <c r="G113" s="114">
        <f t="shared" si="69"/>
        <v>253778.65989999997</v>
      </c>
      <c r="H113" s="115">
        <f>ROUND(VLOOKUP(B113,'MEMÓRIA DE CÁLCULO'!$C$8:$P$1924,13,FALSE),2)</f>
        <v>0</v>
      </c>
      <c r="I113" s="114">
        <f t="shared" ref="I113" si="89">ROUND(H113*F113,2)</f>
        <v>0</v>
      </c>
      <c r="J113" s="115">
        <f>0.13+H113</f>
        <v>0.13</v>
      </c>
      <c r="K113" s="114">
        <f t="shared" ref="K113" si="90">ROUND(J113*F113,2)</f>
        <v>1257.77</v>
      </c>
      <c r="L113" s="115">
        <f t="shared" si="86"/>
        <v>26.1</v>
      </c>
      <c r="M113" s="114">
        <f t="shared" si="87"/>
        <v>252520.89299999998</v>
      </c>
      <c r="N113" s="132">
        <f t="shared" ref="N113" si="91">ROUND(J113/E113,4)</f>
        <v>5.0000000000000001E-3</v>
      </c>
      <c r="P113" s="90"/>
      <c r="Q113" s="90"/>
    </row>
    <row r="114" spans="2:19" ht="28.5" outlineLevel="1" x14ac:dyDescent="0.25">
      <c r="B114" s="69" t="s">
        <v>256</v>
      </c>
      <c r="C114" s="56" t="s">
        <v>257</v>
      </c>
      <c r="D114" s="57" t="s">
        <v>63</v>
      </c>
      <c r="E114" s="112">
        <v>284.62</v>
      </c>
      <c r="F114" s="113">
        <v>43.796723385776552</v>
      </c>
      <c r="G114" s="114">
        <f t="shared" si="69"/>
        <v>12465.423410059722</v>
      </c>
      <c r="H114" s="115">
        <f>ROUND(VLOOKUP(B114,'MEMÓRIA DE CÁLCULO'!$C$8:$P$1924,13,FALSE),2)</f>
        <v>0</v>
      </c>
      <c r="I114" s="114">
        <f t="shared" ref="I114:I117" si="92">ROUND(H114*F114,2)</f>
        <v>0</v>
      </c>
      <c r="J114" s="115">
        <v>0</v>
      </c>
      <c r="K114" s="114">
        <f t="shared" ref="K114:K117" si="93">ROUND(J114*F114,2)</f>
        <v>0</v>
      </c>
      <c r="L114" s="115">
        <f t="shared" si="86"/>
        <v>284.62</v>
      </c>
      <c r="M114" s="114">
        <f t="shared" si="87"/>
        <v>12465.423410059722</v>
      </c>
      <c r="N114" s="132">
        <f t="shared" ref="N114:N117" si="94">ROUND(J114/E114,4)</f>
        <v>0</v>
      </c>
      <c r="P114" s="90"/>
      <c r="Q114" s="90"/>
    </row>
    <row r="115" spans="2:19" ht="42.75" outlineLevel="1" x14ac:dyDescent="0.25">
      <c r="B115" s="69" t="s">
        <v>258</v>
      </c>
      <c r="C115" s="56" t="s">
        <v>259</v>
      </c>
      <c r="D115" s="57" t="s">
        <v>63</v>
      </c>
      <c r="E115" s="112">
        <v>284.62</v>
      </c>
      <c r="F115" s="113">
        <v>97.660814395464826</v>
      </c>
      <c r="G115" s="114">
        <f t="shared" si="69"/>
        <v>27796.220993237199</v>
      </c>
      <c r="H115" s="115">
        <f>ROUND(VLOOKUP(B115,'MEMÓRIA DE CÁLCULO'!$C$8:$P$1924,13,FALSE),2)</f>
        <v>0</v>
      </c>
      <c r="I115" s="114">
        <f t="shared" si="92"/>
        <v>0</v>
      </c>
      <c r="J115" s="115">
        <v>0</v>
      </c>
      <c r="K115" s="114">
        <f t="shared" si="93"/>
        <v>0</v>
      </c>
      <c r="L115" s="115">
        <f t="shared" si="86"/>
        <v>284.62</v>
      </c>
      <c r="M115" s="114">
        <f t="shared" si="87"/>
        <v>27796.220993237199</v>
      </c>
      <c r="N115" s="132">
        <f t="shared" si="94"/>
        <v>0</v>
      </c>
      <c r="P115" s="90"/>
      <c r="Q115" s="90"/>
    </row>
    <row r="116" spans="2:19" ht="28.5" outlineLevel="1" x14ac:dyDescent="0.25">
      <c r="B116" s="69" t="s">
        <v>260</v>
      </c>
      <c r="C116" s="56" t="s">
        <v>398</v>
      </c>
      <c r="D116" s="57" t="s">
        <v>65</v>
      </c>
      <c r="E116" s="112">
        <v>120</v>
      </c>
      <c r="F116" s="113">
        <v>97.281144813541161</v>
      </c>
      <c r="G116" s="114">
        <f t="shared" si="69"/>
        <v>11673.737377624939</v>
      </c>
      <c r="H116" s="115">
        <f>ROUND(VLOOKUP(B116,'MEMÓRIA DE CÁLCULO'!$C$8:$P$1924,13,FALSE),2)</f>
        <v>0</v>
      </c>
      <c r="I116" s="114">
        <f t="shared" si="92"/>
        <v>0</v>
      </c>
      <c r="J116" s="115">
        <v>0</v>
      </c>
      <c r="K116" s="114">
        <f t="shared" si="93"/>
        <v>0</v>
      </c>
      <c r="L116" s="115">
        <f t="shared" si="86"/>
        <v>120</v>
      </c>
      <c r="M116" s="114">
        <f t="shared" si="87"/>
        <v>11673.737377624939</v>
      </c>
      <c r="N116" s="132">
        <f t="shared" si="94"/>
        <v>0</v>
      </c>
      <c r="P116" s="90"/>
      <c r="Q116" s="90"/>
    </row>
    <row r="117" spans="2:19" ht="28.5" outlineLevel="1" x14ac:dyDescent="0.25">
      <c r="B117" s="69" t="s">
        <v>261</v>
      </c>
      <c r="C117" s="56" t="s">
        <v>262</v>
      </c>
      <c r="D117" s="57" t="s">
        <v>64</v>
      </c>
      <c r="E117" s="112">
        <v>9107.84</v>
      </c>
      <c r="F117" s="113">
        <v>2.9637739999999995</v>
      </c>
      <c r="G117" s="114">
        <f t="shared" si="69"/>
        <v>26993.579388159997</v>
      </c>
      <c r="H117" s="115">
        <f>ROUND(VLOOKUP(B117,'MEMÓRIA DE CÁLCULO'!$C$8:$P$1924,13,FALSE),2)</f>
        <v>0</v>
      </c>
      <c r="I117" s="114">
        <f t="shared" si="92"/>
        <v>0</v>
      </c>
      <c r="J117" s="117">
        <v>0</v>
      </c>
      <c r="K117" s="114">
        <f t="shared" si="93"/>
        <v>0</v>
      </c>
      <c r="L117" s="115">
        <f t="shared" si="86"/>
        <v>9107.84</v>
      </c>
      <c r="M117" s="114">
        <f t="shared" si="87"/>
        <v>26993.579388159997</v>
      </c>
      <c r="N117" s="132">
        <f t="shared" si="94"/>
        <v>0</v>
      </c>
      <c r="P117" s="90"/>
      <c r="Q117" s="90"/>
    </row>
    <row r="118" spans="2:19" ht="15" x14ac:dyDescent="0.25">
      <c r="B118" s="48" t="s">
        <v>31</v>
      </c>
      <c r="C118" s="49" t="s">
        <v>100</v>
      </c>
      <c r="D118" s="50"/>
      <c r="E118" s="119"/>
      <c r="F118" s="120"/>
      <c r="G118" s="106">
        <f>SUBTOTAL(9,G119:G124)</f>
        <v>346194.11333311332</v>
      </c>
      <c r="H118" s="107"/>
      <c r="I118" s="106">
        <f>ROUND(SUBTOTAL(9,I119:I124),2)</f>
        <v>0</v>
      </c>
      <c r="J118" s="322">
        <v>0</v>
      </c>
      <c r="K118" s="106">
        <f>ROUND(SUBTOTAL(9,K119:K124),2)</f>
        <v>301758.73</v>
      </c>
      <c r="L118" s="107"/>
      <c r="M118" s="106">
        <f>ROUND(SUBTOTAL(9,M119:M124),2)</f>
        <v>44435.38</v>
      </c>
      <c r="N118" s="133"/>
      <c r="P118" s="90">
        <f t="shared" si="82"/>
        <v>346194.11</v>
      </c>
      <c r="Q118" s="90">
        <f t="shared" si="83"/>
        <v>-3.3331133308820426E-3</v>
      </c>
    </row>
    <row r="119" spans="2:19" ht="15" outlineLevel="1" x14ac:dyDescent="0.25">
      <c r="B119" s="52" t="s">
        <v>263</v>
      </c>
      <c r="C119" s="53" t="s">
        <v>264</v>
      </c>
      <c r="D119" s="54" t="s">
        <v>265</v>
      </c>
      <c r="E119" s="108">
        <v>6</v>
      </c>
      <c r="F119" s="109">
        <v>22045.330563310345</v>
      </c>
      <c r="G119" s="114">
        <f t="shared" si="69"/>
        <v>132271.98337986207</v>
      </c>
      <c r="H119" s="115">
        <f>ROUND(VLOOKUP(B119,'MEMÓRIA DE CÁLCULO'!$C$8:$P$1924,13,FALSE),2)</f>
        <v>0</v>
      </c>
      <c r="I119" s="114">
        <f>ROUND(H119*F119,2)</f>
        <v>0</v>
      </c>
      <c r="J119" s="108">
        <f>5.35+H119</f>
        <v>5.35</v>
      </c>
      <c r="K119" s="114">
        <f>ROUND(J119*F119,2)</f>
        <v>117942.52</v>
      </c>
      <c r="L119" s="115">
        <f t="shared" ref="L119:L124" si="95">E119-J119</f>
        <v>0.65000000000000036</v>
      </c>
      <c r="M119" s="114">
        <f t="shared" ref="M119:M124" si="96">L119*F119</f>
        <v>14329.464866151731</v>
      </c>
      <c r="N119" s="132">
        <f>ROUND(J119/E119,4)</f>
        <v>0.89170000000000005</v>
      </c>
      <c r="P119" s="90">
        <f t="shared" si="82"/>
        <v>132271.98486615173</v>
      </c>
      <c r="Q119" s="90">
        <f t="shared" si="83"/>
        <v>1.4862896641716361E-3</v>
      </c>
    </row>
    <row r="120" spans="2:19" ht="15" outlineLevel="1" x14ac:dyDescent="0.25">
      <c r="B120" s="55" t="s">
        <v>266</v>
      </c>
      <c r="C120" s="58" t="s">
        <v>267</v>
      </c>
      <c r="D120" s="59" t="s">
        <v>110</v>
      </c>
      <c r="E120" s="115">
        <v>6</v>
      </c>
      <c r="F120" s="116">
        <v>22045.330563310345</v>
      </c>
      <c r="G120" s="114">
        <f t="shared" si="69"/>
        <v>132271.98337986207</v>
      </c>
      <c r="H120" s="115">
        <f>ROUND(VLOOKUP(B120,'MEMÓRIA DE CÁLCULO'!$C$8:$P$1924,13,FALSE),2)</f>
        <v>0</v>
      </c>
      <c r="I120" s="114">
        <f t="shared" ref="I120:I122" si="97">ROUND(H120*F120,2)</f>
        <v>0</v>
      </c>
      <c r="J120" s="115">
        <f>5.81+H120</f>
        <v>5.81</v>
      </c>
      <c r="K120" s="114">
        <f t="shared" ref="K120:K122" si="98">ROUND(J120*F120,2)</f>
        <v>128083.37</v>
      </c>
      <c r="L120" s="115">
        <f t="shared" si="95"/>
        <v>0.19000000000000039</v>
      </c>
      <c r="M120" s="114">
        <f t="shared" si="96"/>
        <v>4188.6128070289742</v>
      </c>
      <c r="N120" s="132">
        <f t="shared" ref="N120:N122" si="99">ROUND(J120/E120,4)</f>
        <v>0.96830000000000005</v>
      </c>
      <c r="P120" s="90">
        <f t="shared" si="82"/>
        <v>132271.98280702898</v>
      </c>
      <c r="Q120" s="90">
        <f t="shared" si="83"/>
        <v>-5.7283308706246316E-4</v>
      </c>
    </row>
    <row r="121" spans="2:19" ht="15" outlineLevel="1" x14ac:dyDescent="0.25">
      <c r="B121" s="55" t="s">
        <v>268</v>
      </c>
      <c r="C121" s="58" t="s">
        <v>269</v>
      </c>
      <c r="D121" s="59" t="s">
        <v>110</v>
      </c>
      <c r="E121" s="115">
        <v>6</v>
      </c>
      <c r="F121" s="116">
        <v>4625.8451965346212</v>
      </c>
      <c r="G121" s="114">
        <f t="shared" si="69"/>
        <v>27755.071179207727</v>
      </c>
      <c r="H121" s="115">
        <f>ROUND(VLOOKUP(B121,'MEMÓRIA DE CÁLCULO'!$C$8:$P$1924,13,FALSE),2)</f>
        <v>0</v>
      </c>
      <c r="I121" s="114">
        <f t="shared" si="97"/>
        <v>0</v>
      </c>
      <c r="J121" s="115">
        <f>5.81+H121</f>
        <v>5.81</v>
      </c>
      <c r="K121" s="114">
        <f t="shared" si="98"/>
        <v>26876.16</v>
      </c>
      <c r="L121" s="115">
        <f t="shared" si="95"/>
        <v>0.19000000000000039</v>
      </c>
      <c r="M121" s="114">
        <f t="shared" si="96"/>
        <v>878.9105873415798</v>
      </c>
      <c r="N121" s="132">
        <f t="shared" si="99"/>
        <v>0.96830000000000005</v>
      </c>
      <c r="P121" s="90">
        <f t="shared" si="82"/>
        <v>27755.070587341579</v>
      </c>
      <c r="Q121" s="90">
        <f t="shared" si="83"/>
        <v>-5.9186614817008376E-4</v>
      </c>
    </row>
    <row r="122" spans="2:19" ht="15" outlineLevel="1" x14ac:dyDescent="0.25">
      <c r="B122" s="55" t="s">
        <v>270</v>
      </c>
      <c r="C122" s="58" t="s">
        <v>271</v>
      </c>
      <c r="D122" s="59" t="s">
        <v>106</v>
      </c>
      <c r="E122" s="115">
        <v>1</v>
      </c>
      <c r="F122" s="116">
        <v>24494.811737011496</v>
      </c>
      <c r="G122" s="114">
        <f t="shared" si="69"/>
        <v>24494.811737011496</v>
      </c>
      <c r="H122" s="115">
        <f>ROUND(VLOOKUP(B122,'MEMÓRIA DE CÁLCULO'!$C$8:$P$1924,13,FALSE),2)</f>
        <v>0</v>
      </c>
      <c r="I122" s="114">
        <f t="shared" si="97"/>
        <v>0</v>
      </c>
      <c r="J122" s="115">
        <v>0</v>
      </c>
      <c r="K122" s="114">
        <f t="shared" si="98"/>
        <v>0</v>
      </c>
      <c r="L122" s="115">
        <f t="shared" si="95"/>
        <v>1</v>
      </c>
      <c r="M122" s="114">
        <f t="shared" si="96"/>
        <v>24494.811737011496</v>
      </c>
      <c r="N122" s="132">
        <f t="shared" si="99"/>
        <v>0</v>
      </c>
      <c r="P122" s="90">
        <f t="shared" si="82"/>
        <v>24494.811737011496</v>
      </c>
      <c r="Q122" s="90">
        <f t="shared" si="83"/>
        <v>0</v>
      </c>
    </row>
    <row r="123" spans="2:19" ht="15" outlineLevel="1" x14ac:dyDescent="0.25">
      <c r="B123" s="55" t="s">
        <v>273</v>
      </c>
      <c r="C123" s="58" t="s">
        <v>274</v>
      </c>
      <c r="D123" s="59" t="s">
        <v>63</v>
      </c>
      <c r="E123" s="115">
        <v>848.37</v>
      </c>
      <c r="F123" s="116">
        <v>6.1602410000000001</v>
      </c>
      <c r="G123" s="114">
        <f t="shared" si="69"/>
        <v>5226.1636571700001</v>
      </c>
      <c r="H123" s="115">
        <f>ROUND(VLOOKUP(B123,'MEMÓRIA DE CÁLCULO'!$C$8:$P$1924,13,FALSE),2)</f>
        <v>0</v>
      </c>
      <c r="I123" s="114">
        <f t="shared" ref="I123:I124" si="100">ROUND(H123*F123,2)</f>
        <v>0</v>
      </c>
      <c r="J123" s="115">
        <f>760.13+H123</f>
        <v>760.13</v>
      </c>
      <c r="K123" s="114">
        <f t="shared" ref="K123:K124" si="101">ROUND(J123*F123,2)</f>
        <v>4682.58</v>
      </c>
      <c r="L123" s="115">
        <f t="shared" si="95"/>
        <v>88.240000000000009</v>
      </c>
      <c r="M123" s="114">
        <f t="shared" si="96"/>
        <v>543.57966584000008</v>
      </c>
      <c r="N123" s="132">
        <f t="shared" ref="N123:N124" si="102">ROUND(J123/E123,4)</f>
        <v>0.89600000000000002</v>
      </c>
      <c r="P123" s="90">
        <f t="shared" si="82"/>
        <v>5226.1596658400003</v>
      </c>
      <c r="Q123" s="90">
        <f t="shared" si="83"/>
        <v>-3.9913299997351714E-3</v>
      </c>
    </row>
    <row r="124" spans="2:19" ht="15" outlineLevel="1" x14ac:dyDescent="0.25">
      <c r="B124" s="55" t="s">
        <v>275</v>
      </c>
      <c r="C124" s="58" t="s">
        <v>276</v>
      </c>
      <c r="D124" s="59" t="s">
        <v>106</v>
      </c>
      <c r="E124" s="115">
        <v>1</v>
      </c>
      <c r="F124" s="116">
        <v>24174.1</v>
      </c>
      <c r="G124" s="114">
        <f t="shared" si="69"/>
        <v>24174.1</v>
      </c>
      <c r="H124" s="115">
        <f>ROUND(VLOOKUP(B124,'MEMÓRIA DE CÁLCULO'!$C$8:$P$1924,13,FALSE),2)</f>
        <v>0</v>
      </c>
      <c r="I124" s="114">
        <f t="shared" si="100"/>
        <v>0</v>
      </c>
      <c r="J124" s="117">
        <f>1+H124</f>
        <v>1</v>
      </c>
      <c r="K124" s="114">
        <f t="shared" si="101"/>
        <v>24174.1</v>
      </c>
      <c r="L124" s="115">
        <f t="shared" si="95"/>
        <v>0</v>
      </c>
      <c r="M124" s="114">
        <f t="shared" si="96"/>
        <v>0</v>
      </c>
      <c r="N124" s="132">
        <f t="shared" si="102"/>
        <v>1</v>
      </c>
      <c r="P124" s="90">
        <f t="shared" si="82"/>
        <v>24174.1</v>
      </c>
      <c r="Q124" s="90">
        <f t="shared" si="83"/>
        <v>0</v>
      </c>
    </row>
    <row r="125" spans="2:19" ht="15" x14ac:dyDescent="0.25">
      <c r="B125" s="48" t="s">
        <v>32</v>
      </c>
      <c r="C125" s="49" t="s">
        <v>17</v>
      </c>
      <c r="D125" s="50"/>
      <c r="E125" s="119"/>
      <c r="F125" s="120"/>
      <c r="G125" s="106">
        <f>SUBTOTAL(9,G126:G126)</f>
        <v>108044.05</v>
      </c>
      <c r="H125" s="107"/>
      <c r="I125" s="106">
        <f>ROUND(SUBTOTAL(9,I126:I126),2)</f>
        <v>1080.44</v>
      </c>
      <c r="J125" s="322">
        <v>0</v>
      </c>
      <c r="K125" s="106">
        <f>ROUND(SUBTOTAL(9,K126:K126),2)</f>
        <v>45378.5</v>
      </c>
      <c r="L125" s="107"/>
      <c r="M125" s="106">
        <f>ROUND(SUBTOTAL(9,M126:M126),2)</f>
        <v>62665.55</v>
      </c>
      <c r="N125" s="133"/>
      <c r="P125" s="90">
        <f t="shared" si="82"/>
        <v>108044.05</v>
      </c>
      <c r="Q125" s="90">
        <f t="shared" si="83"/>
        <v>0</v>
      </c>
    </row>
    <row r="126" spans="2:19" ht="29.25" outlineLevel="1" thickBot="1" x14ac:dyDescent="0.3">
      <c r="B126" s="69" t="s">
        <v>277</v>
      </c>
      <c r="C126" s="56" t="s">
        <v>278</v>
      </c>
      <c r="D126" s="57" t="s">
        <v>279</v>
      </c>
      <c r="E126" s="112">
        <v>1</v>
      </c>
      <c r="F126" s="113">
        <v>108044.05</v>
      </c>
      <c r="G126" s="114">
        <f t="shared" si="69"/>
        <v>108044.05</v>
      </c>
      <c r="H126" s="115">
        <f>ROUND(VLOOKUP(B126,'MEMÓRIA DE CÁLCULO'!$C$8:$P$1924,13,FALSE),2)</f>
        <v>0.01</v>
      </c>
      <c r="I126" s="114">
        <f>ROUND(H126*F126,2)</f>
        <v>1080.44</v>
      </c>
      <c r="J126" s="156">
        <f>0.41+H126</f>
        <v>0.42</v>
      </c>
      <c r="K126" s="114">
        <f>ROUND(J126*F126,2)</f>
        <v>45378.5</v>
      </c>
      <c r="L126" s="115">
        <f>E126-J126</f>
        <v>0.58000000000000007</v>
      </c>
      <c r="M126" s="114">
        <f t="shared" ref="M126" si="103">L126*F126</f>
        <v>62665.549000000006</v>
      </c>
      <c r="N126" s="132">
        <f>ROUND(J126/E126,4)</f>
        <v>0.42</v>
      </c>
      <c r="P126" s="90">
        <f t="shared" si="82"/>
        <v>108044.049</v>
      </c>
      <c r="Q126" s="90">
        <f t="shared" si="83"/>
        <v>-1.0000000038417056E-3</v>
      </c>
    </row>
    <row r="127" spans="2:19" s="51" customFormat="1" ht="39.950000000000003" customHeight="1" thickBot="1" x14ac:dyDescent="0.3">
      <c r="B127" s="946" t="s">
        <v>33</v>
      </c>
      <c r="C127" s="947"/>
      <c r="D127" s="948"/>
      <c r="E127" s="937">
        <f>ROUND(SUBTOTAL(9,G13:G126),2)</f>
        <v>2558409.5</v>
      </c>
      <c r="F127" s="939"/>
      <c r="G127" s="938"/>
      <c r="H127" s="937">
        <f>I13+I49+I65+I80+I85+I96+I111+I118+I125</f>
        <v>26647.94</v>
      </c>
      <c r="I127" s="938"/>
      <c r="J127" s="937">
        <f>ROUND(SUBTOTAL(9,K13:K126),2)</f>
        <v>1233108.08</v>
      </c>
      <c r="K127" s="938"/>
      <c r="L127" s="937">
        <f>ROUND(SUBTOTAL(9,M13:M126),2)</f>
        <v>1023763.56</v>
      </c>
      <c r="M127" s="938"/>
      <c r="N127" s="88">
        <f>ROUND(J127/E127,4)</f>
        <v>0.48199999999999998</v>
      </c>
      <c r="P127" s="90">
        <f>J127+L127</f>
        <v>2256871.64</v>
      </c>
      <c r="Q127" s="90">
        <f>P127-E127</f>
        <v>-301537.85999999987</v>
      </c>
      <c r="S127" s="103"/>
    </row>
    <row r="128" spans="2:19" ht="8.1" customHeight="1" x14ac:dyDescent="0.25"/>
    <row r="130" spans="9:13" x14ac:dyDescent="0.25">
      <c r="I130" s="89"/>
      <c r="K130" s="102"/>
      <c r="M130" s="89"/>
    </row>
  </sheetData>
  <mergeCells count="45">
    <mergeCell ref="P12:Q12"/>
    <mergeCell ref="B1:N1"/>
    <mergeCell ref="M9:N9"/>
    <mergeCell ref="B11:B12"/>
    <mergeCell ref="C11:C12"/>
    <mergeCell ref="D11:D12"/>
    <mergeCell ref="N11:N12"/>
    <mergeCell ref="E11:G11"/>
    <mergeCell ref="H11:I11"/>
    <mergeCell ref="J11:K11"/>
    <mergeCell ref="L11:M11"/>
    <mergeCell ref="K7:L7"/>
    <mergeCell ref="K8:L8"/>
    <mergeCell ref="D5:E5"/>
    <mergeCell ref="D6:E6"/>
    <mergeCell ref="B7:B8"/>
    <mergeCell ref="L2:N3"/>
    <mergeCell ref="M5:N5"/>
    <mergeCell ref="M6:N6"/>
    <mergeCell ref="M7:N7"/>
    <mergeCell ref="K5:L5"/>
    <mergeCell ref="K6:L6"/>
    <mergeCell ref="B2:B3"/>
    <mergeCell ref="I6:J6"/>
    <mergeCell ref="I5:J5"/>
    <mergeCell ref="F5:G5"/>
    <mergeCell ref="C2:F3"/>
    <mergeCell ref="G2:K2"/>
    <mergeCell ref="G3:K3"/>
    <mergeCell ref="H127:I127"/>
    <mergeCell ref="J127:K127"/>
    <mergeCell ref="L127:M127"/>
    <mergeCell ref="E127:G127"/>
    <mergeCell ref="M8:N8"/>
    <mergeCell ref="K9:L9"/>
    <mergeCell ref="D9:E9"/>
    <mergeCell ref="B127:D127"/>
    <mergeCell ref="C7:C8"/>
    <mergeCell ref="D7:E7"/>
    <mergeCell ref="D8:E8"/>
    <mergeCell ref="I7:J7"/>
    <mergeCell ref="H8:H9"/>
    <mergeCell ref="I8:J9"/>
    <mergeCell ref="F8:G8"/>
    <mergeCell ref="F9:G9"/>
  </mergeCells>
  <printOptions horizontalCentered="1"/>
  <pageMargins left="0.39370078740157483" right="0.39370078740157483" top="0.59055118110236227" bottom="1.3779527559055118" header="0" footer="0.39370078740157483"/>
  <pageSetup paperSize="9" scale="58"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D1924"/>
  <sheetViews>
    <sheetView showGridLines="0" view="pageBreakPreview" zoomScale="90" zoomScaleNormal="82" zoomScaleSheetLayoutView="90" workbookViewId="0">
      <selection activeCell="E1256" sqref="E1256"/>
    </sheetView>
  </sheetViews>
  <sheetFormatPr defaultRowHeight="18" customHeight="1" x14ac:dyDescent="0.25"/>
  <cols>
    <col min="1" max="1" width="1.7109375" style="15" customWidth="1"/>
    <col min="2" max="2" width="8.140625" style="15" hidden="1" customWidth="1"/>
    <col min="3" max="16" width="8.7109375" style="15" customWidth="1"/>
    <col min="17" max="17" width="1.7109375" style="15" customWidth="1"/>
    <col min="18" max="18" width="14.85546875" style="15" bestFit="1" customWidth="1"/>
    <col min="19" max="19" width="10.85546875" style="15" bestFit="1" customWidth="1"/>
    <col min="20" max="16384" width="9.140625" style="15"/>
  </cols>
  <sheetData>
    <row r="1" spans="2:16" ht="8.1" customHeight="1" x14ac:dyDescent="0.25"/>
    <row r="2" spans="2:16" ht="60" customHeight="1" x14ac:dyDescent="0.25">
      <c r="C2" s="1304" t="s">
        <v>91</v>
      </c>
      <c r="D2" s="1304"/>
      <c r="E2" s="1304"/>
      <c r="F2" s="1304"/>
      <c r="G2" s="1304"/>
      <c r="H2" s="1304"/>
      <c r="I2" s="1304"/>
      <c r="J2" s="1304"/>
      <c r="K2" s="1304"/>
      <c r="L2" s="1304"/>
      <c r="M2" s="1304"/>
      <c r="N2" s="1304"/>
      <c r="O2" s="1304"/>
      <c r="P2" s="1304"/>
    </row>
    <row r="3" spans="2:16" ht="9.9499999999999993" customHeight="1" thickBot="1" x14ac:dyDescent="0.3"/>
    <row r="4" spans="2:16" ht="18" customHeight="1" x14ac:dyDescent="0.25">
      <c r="C4" s="1305" t="s">
        <v>20</v>
      </c>
      <c r="D4" s="1306"/>
      <c r="E4" s="1316" t="str">
        <f>'BM DETALHADO'!C6</f>
        <v>RESTAURARE CONSTRUTORA LTDA</v>
      </c>
      <c r="F4" s="1316"/>
      <c r="G4" s="1316"/>
      <c r="H4" s="1316"/>
      <c r="I4" s="1316"/>
      <c r="J4" s="1316"/>
      <c r="K4" s="1316"/>
      <c r="L4" s="1317"/>
      <c r="M4" s="1307" t="s">
        <v>36</v>
      </c>
      <c r="N4" s="1308"/>
      <c r="O4" s="1320" t="str">
        <f>'BM DETALHADO'!C5</f>
        <v>154/2021</v>
      </c>
      <c r="P4" s="1321"/>
    </row>
    <row r="5" spans="2:16" ht="18" customHeight="1" thickBot="1" x14ac:dyDescent="0.3">
      <c r="C5" s="1309" t="s">
        <v>37</v>
      </c>
      <c r="D5" s="1303"/>
      <c r="E5" s="1326">
        <f>'BM DETALHADO'!I7</f>
        <v>44739</v>
      </c>
      <c r="F5" s="1327"/>
      <c r="G5" s="1302" t="s">
        <v>85</v>
      </c>
      <c r="H5" s="1303"/>
      <c r="I5" s="1324">
        <f>'BM DETALHADO'!I5</f>
        <v>10</v>
      </c>
      <c r="J5" s="1325"/>
      <c r="K5" s="1302" t="s">
        <v>90</v>
      </c>
      <c r="L5" s="1303"/>
      <c r="M5" s="1303"/>
      <c r="N5" s="1322" t="str">
        <f>'BM DETALHADO'!I6</f>
        <v>26/07/22 a 25/08/22</v>
      </c>
      <c r="O5" s="1322"/>
      <c r="P5" s="1323"/>
    </row>
    <row r="6" spans="2:16" ht="18" customHeight="1" x14ac:dyDescent="0.25">
      <c r="C6" s="1313" t="s">
        <v>89</v>
      </c>
      <c r="D6" s="1314"/>
      <c r="E6" s="1314"/>
      <c r="F6" s="1314"/>
      <c r="G6" s="1314"/>
      <c r="H6" s="1314"/>
      <c r="I6" s="1314"/>
      <c r="J6" s="1314"/>
      <c r="K6" s="1314"/>
      <c r="L6" s="1314"/>
      <c r="M6" s="1314"/>
      <c r="N6" s="1314"/>
      <c r="O6" s="1314"/>
      <c r="P6" s="1315"/>
    </row>
    <row r="7" spans="2:16" ht="28.5" customHeight="1" thickBot="1" x14ac:dyDescent="0.3">
      <c r="C7" s="1310" t="str">
        <f>'BM DETALHADO'!C7</f>
        <v>Execução da primeira etapa (reforço estrutural) da obra de restauração do Museu Histórico Aurélio Dolabella, também conhecido como Solar Teixeira da Costa</v>
      </c>
      <c r="D7" s="1311"/>
      <c r="E7" s="1311"/>
      <c r="F7" s="1311"/>
      <c r="G7" s="1311"/>
      <c r="H7" s="1311"/>
      <c r="I7" s="1311"/>
      <c r="J7" s="1311"/>
      <c r="K7" s="1311"/>
      <c r="L7" s="1311"/>
      <c r="M7" s="1311"/>
      <c r="N7" s="1311"/>
      <c r="O7" s="1311"/>
      <c r="P7" s="1312"/>
    </row>
    <row r="8" spans="2:16" ht="15.75" hidden="1" x14ac:dyDescent="0.25">
      <c r="C8" s="20" t="s">
        <v>34</v>
      </c>
      <c r="D8" s="1052" t="s">
        <v>35</v>
      </c>
      <c r="E8" s="1053"/>
      <c r="F8" s="1053"/>
      <c r="G8" s="1053"/>
      <c r="H8" s="1053"/>
      <c r="I8" s="1053"/>
      <c r="J8" s="1053"/>
      <c r="K8" s="1053"/>
      <c r="L8" s="1053"/>
      <c r="M8" s="1054"/>
      <c r="N8" s="26" t="s">
        <v>0</v>
      </c>
      <c r="O8" s="1107" t="s">
        <v>4</v>
      </c>
      <c r="P8" s="1108"/>
    </row>
    <row r="9" spans="2:16" ht="63" hidden="1" customHeight="1" thickBot="1" x14ac:dyDescent="0.3">
      <c r="C9" s="85" t="s">
        <v>6</v>
      </c>
      <c r="D9" s="1070" t="str">
        <f>VLOOKUP(C9,'BM DETALHADO'!$B$13:$D$126,2,FALSE)</f>
        <v>FORNECIMENTO E COLOCAÇÃO DE PLACA DE OBRA EM CHAPA GALVANIZADA (3,00 X 1,5 0 M) - EM CHAPA GALVANIZADA 0,26 AFIXADAS COM REBITES 540 E PARAFUSOS 3/8, EM ESTRUTURA METÁLICA VIGA U 2" ENRIJECIDA COM METALON 20 X 20, SUPORTE EM EUCALIPTO AUTOCLAVADO PINTADAS</v>
      </c>
      <c r="E9" s="1071"/>
      <c r="F9" s="1071"/>
      <c r="G9" s="1071"/>
      <c r="H9" s="1071"/>
      <c r="I9" s="1071"/>
      <c r="J9" s="1071"/>
      <c r="K9" s="1071"/>
      <c r="L9" s="1071"/>
      <c r="M9" s="1072"/>
      <c r="N9" s="19" t="str">
        <f>VLOOKUP(C9,'BM DETALHADO'!$B$13:$D$126,3,FALSE)</f>
        <v>U</v>
      </c>
      <c r="O9" s="1109"/>
      <c r="P9" s="1110"/>
    </row>
    <row r="10" spans="2:16" ht="15" hidden="1" x14ac:dyDescent="0.25">
      <c r="C10" s="77"/>
      <c r="D10" s="78"/>
      <c r="E10" s="79"/>
      <c r="F10" s="79"/>
      <c r="G10" s="79"/>
      <c r="H10" s="79"/>
      <c r="I10" s="79"/>
      <c r="J10" s="79"/>
      <c r="K10" s="79"/>
      <c r="L10" s="79"/>
      <c r="M10" s="79"/>
      <c r="N10" s="79"/>
      <c r="O10" s="91"/>
      <c r="P10" s="92"/>
    </row>
    <row r="11" spans="2:16" ht="16.5" hidden="1" customHeight="1" x14ac:dyDescent="0.25">
      <c r="C11" s="80"/>
      <c r="D11" s="83"/>
      <c r="E11" s="83"/>
      <c r="F11" s="83"/>
      <c r="G11" s="83"/>
      <c r="H11" s="83"/>
      <c r="I11" s="83"/>
      <c r="J11" s="83"/>
      <c r="K11" s="83"/>
      <c r="L11" s="82"/>
      <c r="M11" s="84"/>
      <c r="N11" s="82"/>
      <c r="O11" s="95"/>
      <c r="P11" s="93"/>
    </row>
    <row r="12" spans="2:16" ht="18" hidden="1" customHeight="1" thickBot="1" x14ac:dyDescent="0.3">
      <c r="C12" s="80"/>
      <c r="D12" s="81"/>
      <c r="E12" s="81"/>
      <c r="F12" s="81"/>
      <c r="G12" s="81"/>
      <c r="H12" s="81"/>
      <c r="I12" s="81"/>
      <c r="J12" s="81"/>
      <c r="K12" s="81"/>
      <c r="L12" s="81"/>
      <c r="M12" s="81"/>
      <c r="N12" s="81"/>
      <c r="O12" s="96"/>
      <c r="P12" s="97"/>
    </row>
    <row r="13" spans="2:16" ht="18" hidden="1" customHeight="1" x14ac:dyDescent="0.25">
      <c r="B13" s="31" t="s">
        <v>34</v>
      </c>
      <c r="C13" s="29"/>
      <c r="E13" s="30"/>
      <c r="F13" s="30"/>
      <c r="G13" s="1041" t="s">
        <v>343</v>
      </c>
      <c r="H13" s="1042"/>
      <c r="I13" s="1042"/>
      <c r="J13" s="1043"/>
      <c r="K13" s="1085">
        <f>'[25]MEMÓRIA DE CÁLCULO'!$K$25</f>
        <v>1</v>
      </c>
      <c r="L13" s="1086"/>
      <c r="M13" s="18"/>
      <c r="N13" s="18"/>
      <c r="O13" s="98"/>
      <c r="P13" s="99"/>
    </row>
    <row r="14" spans="2:16" ht="18" hidden="1" customHeight="1" x14ac:dyDescent="0.25">
      <c r="B14" s="31" t="str">
        <f>C9</f>
        <v>1.1</v>
      </c>
      <c r="C14" s="29"/>
      <c r="E14" s="30"/>
      <c r="F14" s="30"/>
      <c r="G14" s="1082" t="s">
        <v>344</v>
      </c>
      <c r="H14" s="1083"/>
      <c r="I14" s="1083"/>
      <c r="J14" s="1084"/>
      <c r="K14" s="1075">
        <f>K13+O9</f>
        <v>1</v>
      </c>
      <c r="L14" s="1076"/>
      <c r="M14" s="18"/>
      <c r="N14" s="18"/>
      <c r="O14" s="98"/>
      <c r="P14" s="99"/>
    </row>
    <row r="15" spans="2:16" ht="18" hidden="1" customHeight="1" x14ac:dyDescent="0.25">
      <c r="C15" s="29"/>
      <c r="D15" s="30"/>
      <c r="E15" s="30"/>
      <c r="F15" s="30"/>
      <c r="G15" s="1082" t="s">
        <v>345</v>
      </c>
      <c r="H15" s="1083"/>
      <c r="I15" s="1083"/>
      <c r="J15" s="1084"/>
      <c r="K15" s="1075">
        <f>VLOOKUP(C9,'[26]BM DETALHADO'!$B$13:$E$126,4,FALSE)</f>
        <v>1</v>
      </c>
      <c r="L15" s="1076"/>
      <c r="M15" s="18"/>
      <c r="N15" s="18"/>
      <c r="O15" s="98"/>
      <c r="P15" s="99"/>
    </row>
    <row r="16" spans="2:16" ht="18" hidden="1" customHeight="1" thickBot="1" x14ac:dyDescent="0.3">
      <c r="C16" s="29"/>
      <c r="D16" s="30"/>
      <c r="E16" s="30"/>
      <c r="F16" s="30"/>
      <c r="G16" s="1077" t="s">
        <v>346</v>
      </c>
      <c r="H16" s="1078"/>
      <c r="I16" s="1078"/>
      <c r="J16" s="1079"/>
      <c r="K16" s="1068">
        <f>K15-K14</f>
        <v>0</v>
      </c>
      <c r="L16" s="1069"/>
      <c r="M16" s="18"/>
      <c r="N16" s="18"/>
      <c r="O16" s="98"/>
      <c r="P16" s="99"/>
    </row>
    <row r="17" spans="3:16" ht="18" hidden="1" customHeight="1" thickBot="1" x14ac:dyDescent="0.3">
      <c r="C17" s="21"/>
      <c r="D17" s="22"/>
      <c r="E17" s="22"/>
      <c r="F17" s="22"/>
      <c r="G17" s="27"/>
      <c r="H17" s="27"/>
      <c r="I17" s="27"/>
      <c r="J17" s="27"/>
      <c r="K17" s="28"/>
      <c r="L17" s="28"/>
      <c r="M17" s="22"/>
      <c r="N17" s="22"/>
      <c r="O17" s="100"/>
      <c r="P17" s="101"/>
    </row>
    <row r="18" spans="3:16" s="146" customFormat="1" ht="18" hidden="1" customHeight="1" x14ac:dyDescent="0.25">
      <c r="C18" s="20" t="s">
        <v>34</v>
      </c>
      <c r="D18" s="1052" t="s">
        <v>35</v>
      </c>
      <c r="E18" s="1053"/>
      <c r="F18" s="1053"/>
      <c r="G18" s="1053"/>
      <c r="H18" s="1053"/>
      <c r="I18" s="1053"/>
      <c r="J18" s="1053"/>
      <c r="K18" s="1053"/>
      <c r="L18" s="1053"/>
      <c r="M18" s="1054"/>
      <c r="N18" s="145" t="s">
        <v>0</v>
      </c>
      <c r="O18" s="1107" t="s">
        <v>4</v>
      </c>
      <c r="P18" s="1108"/>
    </row>
    <row r="19" spans="3:16" s="146" customFormat="1" ht="39" hidden="1" customHeight="1" thickBot="1" x14ac:dyDescent="0.3">
      <c r="C19" s="85" t="s">
        <v>8</v>
      </c>
      <c r="D19" s="1070" t="str">
        <f>VLOOKUP(C19,'BM DETALHADO'!$B$13:$D$126,2,FALSE)</f>
        <v>CHAPA DE ZINCO 0,5 MM ESTRUTURADO COM MADEIRA, ALTURA 2,1 M</v>
      </c>
      <c r="E19" s="1071"/>
      <c r="F19" s="1071"/>
      <c r="G19" s="1071"/>
      <c r="H19" s="1071"/>
      <c r="I19" s="1071"/>
      <c r="J19" s="1071"/>
      <c r="K19" s="1071"/>
      <c r="L19" s="1071"/>
      <c r="M19" s="1072"/>
      <c r="N19" s="19" t="str">
        <f>VLOOKUP(C19,'BM DETALHADO'!$B$13:$D$126,3,FALSE)</f>
        <v>M</v>
      </c>
      <c r="O19" s="1109"/>
      <c r="P19" s="1110"/>
    </row>
    <row r="20" spans="3:16" s="146" customFormat="1" ht="18" hidden="1" customHeight="1" x14ac:dyDescent="0.25">
      <c r="C20" s="77"/>
      <c r="D20" s="78"/>
      <c r="E20" s="79"/>
      <c r="F20" s="79"/>
      <c r="G20" s="79"/>
      <c r="H20" s="79"/>
      <c r="I20" s="79"/>
      <c r="J20" s="79"/>
      <c r="K20" s="79"/>
      <c r="L20" s="79"/>
      <c r="M20" s="79"/>
      <c r="N20" s="79"/>
      <c r="O20" s="91"/>
      <c r="P20" s="92"/>
    </row>
    <row r="21" spans="3:16" s="146" customFormat="1" ht="18" hidden="1" customHeight="1" x14ac:dyDescent="0.25">
      <c r="C21" s="147"/>
      <c r="D21" s="1114" t="s">
        <v>403</v>
      </c>
      <c r="E21" s="1114"/>
      <c r="F21" s="1114"/>
      <c r="G21" s="1114"/>
      <c r="H21" s="1114"/>
      <c r="I21" s="1114"/>
      <c r="J21" s="1114"/>
      <c r="K21" s="366"/>
      <c r="L21" s="81"/>
      <c r="M21" s="81"/>
      <c r="N21" s="81"/>
      <c r="O21" s="81"/>
      <c r="P21" s="93"/>
    </row>
    <row r="22" spans="3:16" s="146" customFormat="1" ht="18" hidden="1" customHeight="1" x14ac:dyDescent="0.25">
      <c r="C22" s="147"/>
      <c r="D22" s="1318" t="s">
        <v>351</v>
      </c>
      <c r="E22" s="1318"/>
      <c r="F22" s="1318" t="s">
        <v>328</v>
      </c>
      <c r="G22" s="1318"/>
      <c r="H22" s="1112" t="s">
        <v>291</v>
      </c>
      <c r="I22" s="1112"/>
      <c r="J22" s="1112"/>
      <c r="K22" s="81"/>
      <c r="L22" s="81"/>
      <c r="M22" s="81"/>
      <c r="N22" s="81"/>
      <c r="O22" s="81"/>
      <c r="P22" s="93"/>
    </row>
    <row r="23" spans="3:16" s="146" customFormat="1" ht="18" hidden="1" customHeight="1" x14ac:dyDescent="0.25">
      <c r="C23" s="1183"/>
      <c r="D23" s="1319">
        <v>12.6</v>
      </c>
      <c r="E23" s="1319"/>
      <c r="F23" s="1319">
        <v>2.1</v>
      </c>
      <c r="G23" s="1319"/>
      <c r="H23" s="1112">
        <f>D23*F23</f>
        <v>26.46</v>
      </c>
      <c r="I23" s="1112"/>
      <c r="J23" s="1112"/>
      <c r="K23" s="81"/>
      <c r="L23" s="81"/>
      <c r="M23" s="81"/>
      <c r="N23" s="81"/>
      <c r="O23" s="81"/>
      <c r="P23" s="93"/>
    </row>
    <row r="24" spans="3:16" s="146" customFormat="1" ht="18" hidden="1" customHeight="1" x14ac:dyDescent="0.25">
      <c r="C24" s="1183"/>
      <c r="D24" s="457"/>
      <c r="E24" s="457"/>
      <c r="F24" s="457"/>
      <c r="G24" s="457"/>
      <c r="H24" s="457"/>
      <c r="I24" s="597"/>
      <c r="J24" s="208"/>
      <c r="K24" s="182"/>
      <c r="L24" s="81"/>
      <c r="M24" s="81"/>
      <c r="N24" s="81"/>
      <c r="O24" s="81"/>
      <c r="P24" s="93"/>
    </row>
    <row r="25" spans="3:16" s="146" customFormat="1" ht="18" hidden="1" customHeight="1" x14ac:dyDescent="0.25">
      <c r="C25" s="1183"/>
      <c r="D25" s="197"/>
      <c r="E25" s="197"/>
      <c r="F25" s="197"/>
      <c r="G25" s="197"/>
      <c r="H25" s="198"/>
      <c r="I25" s="81"/>
      <c r="J25" s="81"/>
      <c r="K25" s="81"/>
      <c r="L25" s="81"/>
      <c r="M25" s="81"/>
      <c r="N25" s="81"/>
      <c r="O25" s="81"/>
      <c r="P25" s="93"/>
    </row>
    <row r="26" spans="3:16" s="146" customFormat="1" ht="18" hidden="1" customHeight="1" x14ac:dyDescent="0.25">
      <c r="C26" s="1183"/>
      <c r="D26" s="197"/>
      <c r="E26" s="197"/>
      <c r="F26" s="197"/>
      <c r="G26" s="197"/>
      <c r="H26" s="198"/>
      <c r="I26" s="81"/>
      <c r="J26" s="81"/>
      <c r="K26" s="81"/>
      <c r="L26" s="81"/>
      <c r="M26" s="81"/>
      <c r="N26" s="81"/>
      <c r="O26" s="81"/>
      <c r="P26" s="93"/>
    </row>
    <row r="27" spans="3:16" s="146" customFormat="1" ht="18" hidden="1" customHeight="1" x14ac:dyDescent="0.25">
      <c r="C27" s="1183"/>
      <c r="D27" s="197"/>
      <c r="E27" s="197"/>
      <c r="F27" s="197"/>
      <c r="G27" s="197"/>
      <c r="H27" s="198"/>
      <c r="I27" s="81"/>
      <c r="J27" s="81"/>
      <c r="K27" s="81"/>
      <c r="L27" s="81"/>
      <c r="M27" s="81"/>
      <c r="N27" s="81"/>
      <c r="O27" s="81"/>
      <c r="P27" s="93"/>
    </row>
    <row r="28" spans="3:16" s="146" customFormat="1" ht="18" hidden="1" customHeight="1" x14ac:dyDescent="0.25">
      <c r="C28" s="80"/>
      <c r="D28" s="197"/>
      <c r="E28" s="197"/>
      <c r="F28" s="197"/>
      <c r="G28" s="197"/>
      <c r="H28" s="198"/>
      <c r="I28" s="81"/>
      <c r="J28" s="81"/>
      <c r="K28" s="81"/>
      <c r="L28" s="81"/>
      <c r="M28" s="81"/>
      <c r="N28" s="81"/>
      <c r="O28" s="81"/>
      <c r="P28" s="93"/>
    </row>
    <row r="29" spans="3:16" s="146" customFormat="1" ht="18" hidden="1" customHeight="1" x14ac:dyDescent="0.25">
      <c r="C29" s="80"/>
      <c r="D29" s="457"/>
      <c r="E29" s="457"/>
      <c r="F29" s="457"/>
      <c r="G29" s="197"/>
      <c r="H29" s="199"/>
      <c r="I29" s="81"/>
      <c r="J29" s="81"/>
      <c r="K29" s="81"/>
      <c r="L29" s="81"/>
      <c r="M29" s="81"/>
      <c r="N29" s="81"/>
      <c r="O29" s="81"/>
      <c r="P29" s="93"/>
    </row>
    <row r="30" spans="3:16" s="146" customFormat="1" ht="18" hidden="1" customHeight="1" x14ac:dyDescent="0.25">
      <c r="C30" s="80"/>
      <c r="D30" s="607"/>
      <c r="E30" s="607"/>
      <c r="F30" s="607"/>
      <c r="G30" s="607"/>
      <c r="H30" s="607"/>
      <c r="I30" s="607"/>
      <c r="J30" s="607"/>
      <c r="K30" s="607"/>
      <c r="L30" s="597"/>
      <c r="M30" s="608"/>
      <c r="N30" s="597"/>
      <c r="O30" s="95"/>
      <c r="P30" s="93"/>
    </row>
    <row r="31" spans="3:16" s="146" customFormat="1" ht="18" hidden="1" customHeight="1" x14ac:dyDescent="0.25">
      <c r="C31" s="80"/>
      <c r="D31" s="607"/>
      <c r="E31" s="607"/>
      <c r="F31" s="607"/>
      <c r="G31" s="607"/>
      <c r="H31" s="607"/>
      <c r="I31" s="607"/>
      <c r="J31" s="607"/>
      <c r="K31" s="607"/>
      <c r="L31" s="597"/>
      <c r="M31" s="608"/>
      <c r="N31" s="597"/>
      <c r="O31" s="95"/>
      <c r="P31" s="93"/>
    </row>
    <row r="32" spans="3:16" s="146" customFormat="1" ht="18" hidden="1" customHeight="1" x14ac:dyDescent="0.25">
      <c r="C32" s="80"/>
      <c r="D32" s="607"/>
      <c r="E32" s="607"/>
      <c r="F32" s="607"/>
      <c r="G32" s="607"/>
      <c r="H32" s="607"/>
      <c r="I32" s="607"/>
      <c r="J32" s="607"/>
      <c r="K32" s="607"/>
      <c r="L32" s="597"/>
      <c r="M32" s="608"/>
      <c r="N32" s="597"/>
      <c r="O32" s="95"/>
      <c r="P32" s="93"/>
    </row>
    <row r="33" spans="2:16" s="146" customFormat="1" ht="18" hidden="1" customHeight="1" thickBot="1" x14ac:dyDescent="0.3">
      <c r="C33" s="80"/>
      <c r="D33" s="81"/>
      <c r="E33" s="81"/>
      <c r="F33" s="81"/>
      <c r="G33" s="81"/>
      <c r="H33" s="81"/>
      <c r="I33" s="81"/>
      <c r="J33" s="81"/>
      <c r="K33" s="81"/>
      <c r="L33" s="81"/>
      <c r="M33" s="81"/>
      <c r="N33" s="81"/>
      <c r="O33" s="96"/>
      <c r="P33" s="97"/>
    </row>
    <row r="34" spans="2:16" s="146" customFormat="1" ht="18" hidden="1" customHeight="1" x14ac:dyDescent="0.25">
      <c r="B34" s="31" t="s">
        <v>34</v>
      </c>
      <c r="C34" s="29"/>
      <c r="E34" s="30"/>
      <c r="F34" s="30"/>
      <c r="G34" s="1041" t="s">
        <v>343</v>
      </c>
      <c r="H34" s="1042"/>
      <c r="I34" s="1042"/>
      <c r="J34" s="1043"/>
      <c r="K34" s="1085">
        <f>'[25]MEMÓRIA DE CÁLCULO'!$K$46</f>
        <v>158.77000000000001</v>
      </c>
      <c r="L34" s="1086"/>
      <c r="M34" s="18"/>
      <c r="N34" s="18"/>
      <c r="O34" s="98"/>
      <c r="P34" s="99"/>
    </row>
    <row r="35" spans="2:16" s="146" customFormat="1" ht="18" hidden="1" customHeight="1" x14ac:dyDescent="0.25">
      <c r="B35" s="31" t="str">
        <f>C19</f>
        <v>1.3</v>
      </c>
      <c r="C35" s="29"/>
      <c r="E35" s="30"/>
      <c r="F35" s="30"/>
      <c r="G35" s="1082" t="s">
        <v>344</v>
      </c>
      <c r="H35" s="1083"/>
      <c r="I35" s="1083"/>
      <c r="J35" s="1084"/>
      <c r="K35" s="1075">
        <f>K34+O19</f>
        <v>158.77000000000001</v>
      </c>
      <c r="L35" s="1076"/>
      <c r="M35" s="18"/>
      <c r="N35" s="18"/>
      <c r="O35" s="98"/>
      <c r="P35" s="99"/>
    </row>
    <row r="36" spans="2:16" s="146" customFormat="1" ht="18" hidden="1" customHeight="1" x14ac:dyDescent="0.25">
      <c r="C36" s="29"/>
      <c r="D36" s="30"/>
      <c r="E36" s="30"/>
      <c r="F36" s="30"/>
      <c r="G36" s="1082" t="s">
        <v>345</v>
      </c>
      <c r="H36" s="1083"/>
      <c r="I36" s="1083"/>
      <c r="J36" s="1084"/>
      <c r="K36" s="1075">
        <f>VLOOKUP(C19,'[26]BM DETALHADO'!$B$13:$E$126,4,FALSE)</f>
        <v>159</v>
      </c>
      <c r="L36" s="1076"/>
      <c r="M36" s="18"/>
      <c r="N36" s="18"/>
      <c r="O36" s="98"/>
      <c r="P36" s="99"/>
    </row>
    <row r="37" spans="2:16" s="146" customFormat="1" ht="18" hidden="1" customHeight="1" thickBot="1" x14ac:dyDescent="0.3">
      <c r="C37" s="29"/>
      <c r="D37" s="30"/>
      <c r="E37" s="30"/>
      <c r="F37" s="30"/>
      <c r="G37" s="1077" t="s">
        <v>346</v>
      </c>
      <c r="H37" s="1078"/>
      <c r="I37" s="1078"/>
      <c r="J37" s="1079"/>
      <c r="K37" s="1068">
        <f>K36-K35</f>
        <v>0.22999999999998977</v>
      </c>
      <c r="L37" s="1069"/>
      <c r="M37" s="18"/>
      <c r="N37" s="18"/>
      <c r="O37" s="98"/>
      <c r="P37" s="99"/>
    </row>
    <row r="38" spans="2:16" s="146" customFormat="1" ht="18" hidden="1" customHeight="1" thickBot="1" x14ac:dyDescent="0.3">
      <c r="C38" s="21"/>
      <c r="D38" s="22"/>
      <c r="E38" s="22"/>
      <c r="F38" s="22"/>
      <c r="G38" s="27"/>
      <c r="H38" s="27"/>
      <c r="I38" s="27"/>
      <c r="J38" s="27"/>
      <c r="K38" s="28"/>
      <c r="L38" s="28"/>
      <c r="M38" s="22"/>
      <c r="N38" s="22"/>
      <c r="O38" s="100"/>
      <c r="P38" s="101"/>
    </row>
    <row r="39" spans="2:16" s="146" customFormat="1" ht="18" hidden="1" customHeight="1" x14ac:dyDescent="0.25">
      <c r="C39" s="20" t="s">
        <v>34</v>
      </c>
      <c r="D39" s="1052" t="s">
        <v>35</v>
      </c>
      <c r="E39" s="1053"/>
      <c r="F39" s="1053"/>
      <c r="G39" s="1053"/>
      <c r="H39" s="1053"/>
      <c r="I39" s="1053"/>
      <c r="J39" s="1053"/>
      <c r="K39" s="1053"/>
      <c r="L39" s="1053"/>
      <c r="M39" s="1054"/>
      <c r="N39" s="145" t="s">
        <v>0</v>
      </c>
      <c r="O39" s="1107" t="s">
        <v>4</v>
      </c>
      <c r="P39" s="1108"/>
    </row>
    <row r="40" spans="2:16" s="146" customFormat="1" ht="39" hidden="1" customHeight="1" thickBot="1" x14ac:dyDescent="0.3">
      <c r="C40" s="85" t="s">
        <v>9</v>
      </c>
      <c r="D40" s="1070" t="str">
        <f>VLOOKUP(C40,'BM DETALHADO'!$B$13:$D$126,2,FALSE)</f>
        <v>CABO ATERRAMENTO DO TAPUME METÁLICO 25 mm2</v>
      </c>
      <c r="E40" s="1071"/>
      <c r="F40" s="1071"/>
      <c r="G40" s="1071"/>
      <c r="H40" s="1071"/>
      <c r="I40" s="1071"/>
      <c r="J40" s="1071"/>
      <c r="K40" s="1071"/>
      <c r="L40" s="1071"/>
      <c r="M40" s="1072"/>
      <c r="N40" s="19" t="str">
        <f>VLOOKUP(C40,'BM DETALHADO'!$B$13:$D$126,3,FALSE)</f>
        <v>M</v>
      </c>
      <c r="O40" s="1109"/>
      <c r="P40" s="1110"/>
    </row>
    <row r="41" spans="2:16" s="146" customFormat="1" ht="18" hidden="1" customHeight="1" x14ac:dyDescent="0.25">
      <c r="C41" s="77"/>
      <c r="D41" s="78"/>
      <c r="E41" s="79"/>
      <c r="F41" s="79"/>
      <c r="G41" s="79"/>
      <c r="H41" s="79"/>
      <c r="I41" s="79"/>
      <c r="J41" s="79"/>
      <c r="K41" s="79"/>
      <c r="L41" s="79"/>
      <c r="M41" s="79"/>
      <c r="N41" s="79"/>
      <c r="O41" s="91"/>
      <c r="P41" s="92"/>
    </row>
    <row r="42" spans="2:16" s="146" customFormat="1" ht="18" hidden="1" customHeight="1" x14ac:dyDescent="0.2">
      <c r="C42" s="202"/>
      <c r="D42" s="1272"/>
      <c r="E42" s="1272"/>
      <c r="F42" s="1272"/>
      <c r="G42" s="280"/>
      <c r="H42" s="245"/>
      <c r="I42" s="255"/>
      <c r="J42" s="231"/>
      <c r="K42" s="233"/>
      <c r="L42" s="233"/>
      <c r="M42" s="233"/>
      <c r="N42" s="233"/>
      <c r="O42" s="233"/>
      <c r="P42" s="234"/>
    </row>
    <row r="43" spans="2:16" s="146" customFormat="1" ht="18" hidden="1" customHeight="1" x14ac:dyDescent="0.2">
      <c r="C43" s="202"/>
      <c r="D43" s="239"/>
      <c r="E43" s="239"/>
      <c r="F43" s="239"/>
      <c r="G43" s="280"/>
      <c r="H43" s="245"/>
      <c r="I43" s="246"/>
      <c r="J43" s="190"/>
      <c r="K43" s="233"/>
      <c r="L43" s="233"/>
      <c r="M43" s="233"/>
      <c r="N43" s="233"/>
      <c r="O43" s="233"/>
      <c r="P43" s="234"/>
    </row>
    <row r="44" spans="2:16" s="146" customFormat="1" ht="18" hidden="1" customHeight="1" x14ac:dyDescent="0.2">
      <c r="C44" s="202"/>
      <c r="D44" s="239"/>
      <c r="E44" s="239"/>
      <c r="F44" s="239"/>
      <c r="G44" s="280"/>
      <c r="H44" s="245"/>
      <c r="I44" s="246"/>
      <c r="J44" s="190"/>
      <c r="K44" s="233"/>
      <c r="L44" s="233"/>
      <c r="M44" s="233"/>
      <c r="N44" s="233"/>
      <c r="O44" s="233"/>
      <c r="P44" s="234"/>
    </row>
    <row r="45" spans="2:16" s="146" customFormat="1" ht="18" hidden="1" customHeight="1" x14ac:dyDescent="0.2">
      <c r="C45" s="202"/>
      <c r="D45" s="239"/>
      <c r="E45" s="239"/>
      <c r="F45" s="239"/>
      <c r="G45" s="280"/>
      <c r="H45" s="245"/>
      <c r="I45" s="246"/>
      <c r="J45" s="190"/>
      <c r="K45" s="233"/>
      <c r="L45" s="233"/>
      <c r="M45" s="233"/>
      <c r="N45" s="233"/>
      <c r="O45" s="233"/>
      <c r="P45" s="234"/>
    </row>
    <row r="46" spans="2:16" s="146" customFormat="1" ht="18" hidden="1" customHeight="1" x14ac:dyDescent="0.2">
      <c r="C46" s="202"/>
      <c r="D46" s="239"/>
      <c r="E46" s="239"/>
      <c r="F46" s="239"/>
      <c r="G46" s="280"/>
      <c r="H46" s="245"/>
      <c r="I46" s="246"/>
      <c r="J46" s="190"/>
      <c r="K46" s="233"/>
      <c r="L46" s="233"/>
      <c r="M46" s="233"/>
      <c r="N46" s="233"/>
      <c r="O46" s="233"/>
      <c r="P46" s="234"/>
    </row>
    <row r="47" spans="2:16" s="146" customFormat="1" ht="18" hidden="1" customHeight="1" x14ac:dyDescent="0.2">
      <c r="C47" s="202"/>
      <c r="D47" s="239"/>
      <c r="E47" s="239"/>
      <c r="F47" s="239"/>
      <c r="G47" s="280"/>
      <c r="H47" s="245"/>
      <c r="I47" s="246"/>
      <c r="J47" s="190"/>
      <c r="K47" s="233"/>
      <c r="L47" s="233"/>
      <c r="M47" s="233"/>
      <c r="N47" s="233"/>
      <c r="O47" s="233"/>
      <c r="P47" s="234"/>
    </row>
    <row r="48" spans="2:16" s="146" customFormat="1" ht="18" hidden="1" customHeight="1" x14ac:dyDescent="0.2">
      <c r="C48" s="202"/>
      <c r="D48" s="239"/>
      <c r="E48" s="280"/>
      <c r="F48" s="280"/>
      <c r="G48" s="280"/>
      <c r="H48" s="245"/>
      <c r="I48" s="280"/>
      <c r="J48" s="231"/>
      <c r="K48" s="233"/>
      <c r="L48" s="233"/>
      <c r="M48" s="233"/>
      <c r="N48" s="233"/>
      <c r="O48" s="233"/>
      <c r="P48" s="234"/>
    </row>
    <row r="49" spans="2:16" s="146" customFormat="1" ht="18" hidden="1" customHeight="1" x14ac:dyDescent="0.2">
      <c r="C49" s="202"/>
      <c r="D49" s="249"/>
      <c r="E49" s="249"/>
      <c r="F49" s="249"/>
      <c r="G49" s="280"/>
      <c r="H49" s="245"/>
      <c r="I49" s="249"/>
      <c r="J49" s="200"/>
      <c r="K49" s="233"/>
      <c r="L49" s="233"/>
      <c r="M49" s="233"/>
      <c r="N49" s="233"/>
      <c r="O49" s="233"/>
      <c r="P49" s="234"/>
    </row>
    <row r="50" spans="2:16" s="146" customFormat="1" ht="18" hidden="1" customHeight="1" x14ac:dyDescent="0.25">
      <c r="C50" s="202"/>
      <c r="D50" s="241"/>
      <c r="E50" s="241"/>
      <c r="F50" s="241"/>
      <c r="G50" s="280"/>
      <c r="H50" s="241"/>
      <c r="I50" s="241"/>
      <c r="J50" s="175"/>
      <c r="K50" s="233"/>
      <c r="L50" s="233"/>
      <c r="M50" s="233"/>
      <c r="N50" s="233"/>
      <c r="O50" s="233"/>
      <c r="P50" s="234"/>
    </row>
    <row r="51" spans="2:16" s="146" customFormat="1" ht="18" hidden="1" customHeight="1" x14ac:dyDescent="0.25">
      <c r="C51" s="202"/>
      <c r="D51" s="1273"/>
      <c r="E51" s="1273"/>
      <c r="F51" s="1273"/>
      <c r="G51" s="244"/>
      <c r="H51" s="243"/>
      <c r="I51" s="281"/>
      <c r="J51" s="175"/>
      <c r="K51" s="233"/>
      <c r="L51" s="233"/>
      <c r="M51" s="233"/>
      <c r="N51" s="233"/>
      <c r="O51" s="233"/>
      <c r="P51" s="234"/>
    </row>
    <row r="52" spans="2:16" s="146" customFormat="1" ht="18" hidden="1" customHeight="1" x14ac:dyDescent="0.25">
      <c r="C52" s="202"/>
      <c r="D52" s="233"/>
      <c r="E52" s="233"/>
      <c r="F52" s="233"/>
      <c r="G52" s="233"/>
      <c r="H52" s="233"/>
      <c r="I52" s="233"/>
      <c r="J52" s="233"/>
      <c r="K52" s="233"/>
      <c r="L52" s="233"/>
      <c r="M52" s="233"/>
      <c r="N52" s="233"/>
      <c r="O52" s="233"/>
      <c r="P52" s="234"/>
    </row>
    <row r="53" spans="2:16" s="146" customFormat="1" ht="18" hidden="1" customHeight="1" x14ac:dyDescent="0.25">
      <c r="C53" s="202"/>
      <c r="D53" s="233"/>
      <c r="E53" s="233"/>
      <c r="F53" s="233"/>
      <c r="G53" s="233"/>
      <c r="H53" s="233"/>
      <c r="I53" s="233"/>
      <c r="J53" s="233"/>
      <c r="K53" s="233"/>
      <c r="L53" s="233"/>
      <c r="M53" s="233"/>
      <c r="N53" s="233"/>
      <c r="O53" s="233"/>
      <c r="P53" s="234"/>
    </row>
    <row r="54" spans="2:16" s="146" customFormat="1" ht="18" hidden="1" customHeight="1" thickBot="1" x14ac:dyDescent="0.3">
      <c r="C54" s="202"/>
      <c r="D54" s="233"/>
      <c r="E54" s="233"/>
      <c r="F54" s="233"/>
      <c r="G54" s="233"/>
      <c r="H54" s="233"/>
      <c r="I54" s="233"/>
      <c r="J54" s="233"/>
      <c r="K54" s="233"/>
      <c r="L54" s="233"/>
      <c r="M54" s="233"/>
      <c r="N54" s="233"/>
      <c r="O54" s="233"/>
      <c r="P54" s="234"/>
    </row>
    <row r="55" spans="2:16" s="146" customFormat="1" ht="18" hidden="1" customHeight="1" x14ac:dyDescent="0.25">
      <c r="B55" s="31" t="s">
        <v>34</v>
      </c>
      <c r="C55" s="29"/>
      <c r="E55" s="30"/>
      <c r="F55" s="30"/>
      <c r="G55" s="1041" t="s">
        <v>343</v>
      </c>
      <c r="H55" s="1042"/>
      <c r="I55" s="1042"/>
      <c r="J55" s="1043"/>
      <c r="K55" s="1085">
        <f>'[25]MEMÓRIA DE CÁLCULO'!$K$67</f>
        <v>60</v>
      </c>
      <c r="L55" s="1086"/>
      <c r="M55" s="18"/>
      <c r="N55" s="18"/>
      <c r="O55" s="98"/>
      <c r="P55" s="99"/>
    </row>
    <row r="56" spans="2:16" s="146" customFormat="1" ht="18" hidden="1" customHeight="1" x14ac:dyDescent="0.25">
      <c r="B56" s="31" t="str">
        <f>C40</f>
        <v>1.4</v>
      </c>
      <c r="C56" s="29"/>
      <c r="E56" s="30"/>
      <c r="F56" s="30"/>
      <c r="G56" s="1082" t="s">
        <v>344</v>
      </c>
      <c r="H56" s="1083"/>
      <c r="I56" s="1083"/>
      <c r="J56" s="1084"/>
      <c r="K56" s="1075">
        <f>K55+O40</f>
        <v>60</v>
      </c>
      <c r="L56" s="1076"/>
      <c r="M56" s="18"/>
      <c r="N56" s="18"/>
      <c r="O56" s="98"/>
      <c r="P56" s="99"/>
    </row>
    <row r="57" spans="2:16" s="146" customFormat="1" ht="18" hidden="1" customHeight="1" x14ac:dyDescent="0.25">
      <c r="C57" s="29"/>
      <c r="D57" s="30"/>
      <c r="E57" s="30"/>
      <c r="F57" s="30"/>
      <c r="G57" s="1082" t="s">
        <v>345</v>
      </c>
      <c r="H57" s="1083"/>
      <c r="I57" s="1083"/>
      <c r="J57" s="1084"/>
      <c r="K57" s="1075">
        <f>VLOOKUP(C40,'[26]BM DETALHADO'!$B$13:$E$126,4,FALSE)</f>
        <v>60</v>
      </c>
      <c r="L57" s="1076"/>
      <c r="M57" s="18"/>
      <c r="N57" s="18"/>
      <c r="O57" s="98"/>
      <c r="P57" s="99"/>
    </row>
    <row r="58" spans="2:16" s="146" customFormat="1" ht="18" hidden="1" customHeight="1" thickBot="1" x14ac:dyDescent="0.3">
      <c r="C58" s="29"/>
      <c r="D58" s="30"/>
      <c r="E58" s="30"/>
      <c r="F58" s="30"/>
      <c r="G58" s="1077" t="s">
        <v>346</v>
      </c>
      <c r="H58" s="1078"/>
      <c r="I58" s="1078"/>
      <c r="J58" s="1079"/>
      <c r="K58" s="1068">
        <f>K57-K56</f>
        <v>0</v>
      </c>
      <c r="L58" s="1069"/>
      <c r="M58" s="18"/>
      <c r="N58" s="18"/>
      <c r="O58" s="98"/>
      <c r="P58" s="99"/>
    </row>
    <row r="59" spans="2:16" s="146" customFormat="1" ht="18" hidden="1" customHeight="1" thickBot="1" x14ac:dyDescent="0.3">
      <c r="C59" s="21"/>
      <c r="D59" s="22"/>
      <c r="E59" s="22"/>
      <c r="F59" s="22"/>
      <c r="G59" s="27"/>
      <c r="H59" s="27"/>
      <c r="I59" s="27"/>
      <c r="J59" s="27"/>
      <c r="K59" s="28"/>
      <c r="L59" s="28"/>
      <c r="M59" s="22"/>
      <c r="N59" s="22"/>
      <c r="O59" s="100"/>
      <c r="P59" s="101"/>
    </row>
    <row r="60" spans="2:16" s="146" customFormat="1" ht="18" hidden="1" customHeight="1" x14ac:dyDescent="0.25">
      <c r="C60" s="20" t="s">
        <v>34</v>
      </c>
      <c r="D60" s="1052" t="s">
        <v>35</v>
      </c>
      <c r="E60" s="1053"/>
      <c r="F60" s="1053"/>
      <c r="G60" s="1053"/>
      <c r="H60" s="1053"/>
      <c r="I60" s="1053"/>
      <c r="J60" s="1053"/>
      <c r="K60" s="1053"/>
      <c r="L60" s="1053"/>
      <c r="M60" s="1054"/>
      <c r="N60" s="145" t="s">
        <v>0</v>
      </c>
      <c r="O60" s="1107" t="s">
        <v>4</v>
      </c>
      <c r="P60" s="1108"/>
    </row>
    <row r="61" spans="2:16" s="146" customFormat="1" ht="31.5" hidden="1" customHeight="1" thickBot="1" x14ac:dyDescent="0.3">
      <c r="C61" s="85" t="s">
        <v>10</v>
      </c>
      <c r="D61" s="1070" t="str">
        <f>VLOOKUP(C61,'BM DETALHADO'!$B$13:$D$126,2,FALSE)</f>
        <v>HASTE ATERRAMENTO TAPUME</v>
      </c>
      <c r="E61" s="1071"/>
      <c r="F61" s="1071"/>
      <c r="G61" s="1071"/>
      <c r="H61" s="1071"/>
      <c r="I61" s="1071"/>
      <c r="J61" s="1071"/>
      <c r="K61" s="1071"/>
      <c r="L61" s="1071"/>
      <c r="M61" s="1072"/>
      <c r="N61" s="19" t="str">
        <f>VLOOKUP(C61,'BM DETALHADO'!$B$13:$D$126,3,FALSE)</f>
        <v>UNID</v>
      </c>
      <c r="O61" s="1109"/>
      <c r="P61" s="1110"/>
    </row>
    <row r="62" spans="2:16" s="146" customFormat="1" ht="18" hidden="1" customHeight="1" x14ac:dyDescent="0.25">
      <c r="C62" s="77"/>
      <c r="D62" s="78"/>
      <c r="E62" s="79"/>
      <c r="F62" s="79"/>
      <c r="G62" s="79"/>
      <c r="H62" s="79"/>
      <c r="I62" s="79"/>
      <c r="J62" s="79"/>
      <c r="K62" s="79"/>
      <c r="L62" s="79"/>
      <c r="M62" s="79"/>
      <c r="N62" s="79"/>
      <c r="O62" s="91"/>
      <c r="P62" s="92"/>
    </row>
    <row r="63" spans="2:16" s="146" customFormat="1" ht="18" hidden="1" customHeight="1" x14ac:dyDescent="0.25">
      <c r="C63" s="147"/>
      <c r="D63" s="1259"/>
      <c r="E63" s="1259"/>
      <c r="F63" s="1259"/>
      <c r="G63" s="179"/>
      <c r="H63" s="178"/>
      <c r="I63" s="176"/>
      <c r="J63" s="81"/>
      <c r="K63" s="81"/>
      <c r="L63" s="81"/>
      <c r="M63" s="81"/>
      <c r="N63" s="81"/>
      <c r="O63" s="81"/>
      <c r="P63" s="187"/>
    </row>
    <row r="64" spans="2:16" s="146" customFormat="1" ht="18" hidden="1" customHeight="1" x14ac:dyDescent="0.25">
      <c r="C64" s="147"/>
      <c r="D64" s="81"/>
      <c r="E64" s="81"/>
      <c r="F64" s="81"/>
      <c r="G64" s="81"/>
      <c r="H64" s="81"/>
      <c r="I64" s="81"/>
      <c r="J64" s="81"/>
      <c r="K64" s="81"/>
      <c r="L64" s="81"/>
      <c r="M64" s="81"/>
      <c r="N64" s="81"/>
      <c r="O64" s="81"/>
      <c r="P64" s="187"/>
    </row>
    <row r="65" spans="2:16" s="146" customFormat="1" ht="18" hidden="1" customHeight="1" x14ac:dyDescent="0.25">
      <c r="C65" s="1183"/>
      <c r="D65" s="81"/>
      <c r="E65" s="81"/>
      <c r="F65" s="81"/>
      <c r="G65" s="81"/>
      <c r="H65" s="81"/>
      <c r="I65" s="81"/>
      <c r="J65" s="81"/>
      <c r="K65" s="81"/>
      <c r="L65" s="81"/>
      <c r="M65" s="81"/>
      <c r="N65" s="81"/>
      <c r="O65" s="81"/>
      <c r="P65" s="187"/>
    </row>
    <row r="66" spans="2:16" s="146" customFormat="1" ht="18" hidden="1" customHeight="1" x14ac:dyDescent="0.25">
      <c r="C66" s="1183"/>
      <c r="D66" s="81"/>
      <c r="E66" s="81"/>
      <c r="F66" s="81"/>
      <c r="G66" s="81"/>
      <c r="H66" s="81"/>
      <c r="I66" s="81"/>
      <c r="J66" s="81"/>
      <c r="K66" s="81"/>
      <c r="L66" s="81"/>
      <c r="M66" s="81"/>
      <c r="N66" s="81"/>
      <c r="O66" s="81"/>
      <c r="P66" s="187"/>
    </row>
    <row r="67" spans="2:16" s="146" customFormat="1" ht="18" hidden="1" customHeight="1" x14ac:dyDescent="0.25">
      <c r="C67" s="1183"/>
      <c r="D67" s="81"/>
      <c r="E67" s="81"/>
      <c r="F67" s="81"/>
      <c r="G67" s="81"/>
      <c r="H67" s="81"/>
      <c r="I67" s="81"/>
      <c r="J67" s="81"/>
      <c r="K67" s="81"/>
      <c r="L67" s="81"/>
      <c r="M67" s="81"/>
      <c r="N67" s="81"/>
      <c r="O67" s="81"/>
      <c r="P67" s="187"/>
    </row>
    <row r="68" spans="2:16" s="146" customFormat="1" ht="18" hidden="1" customHeight="1" x14ac:dyDescent="0.25">
      <c r="C68" s="1183"/>
      <c r="D68" s="81"/>
      <c r="E68" s="81"/>
      <c r="F68" s="81"/>
      <c r="G68" s="81"/>
      <c r="H68" s="81"/>
      <c r="I68" s="81"/>
      <c r="J68" s="81"/>
      <c r="K68" s="81"/>
      <c r="L68" s="81"/>
      <c r="M68" s="81"/>
      <c r="N68" s="81"/>
      <c r="O68" s="81"/>
      <c r="P68" s="187"/>
    </row>
    <row r="69" spans="2:16" s="146" customFormat="1" ht="18" hidden="1" customHeight="1" x14ac:dyDescent="0.25">
      <c r="C69" s="1183"/>
      <c r="D69" s="81"/>
      <c r="E69" s="81"/>
      <c r="F69" s="81"/>
      <c r="G69" s="81"/>
      <c r="H69" s="81"/>
      <c r="I69" s="81"/>
      <c r="J69" s="81"/>
      <c r="K69" s="81"/>
      <c r="L69" s="81"/>
      <c r="M69" s="81"/>
      <c r="N69" s="81"/>
      <c r="O69" s="81"/>
      <c r="P69" s="187"/>
    </row>
    <row r="70" spans="2:16" s="146" customFormat="1" ht="18" hidden="1" customHeight="1" x14ac:dyDescent="0.25">
      <c r="C70" s="80"/>
      <c r="D70" s="81"/>
      <c r="E70" s="81"/>
      <c r="F70" s="81"/>
      <c r="G70" s="81"/>
      <c r="H70" s="81"/>
      <c r="I70" s="81"/>
      <c r="J70" s="81"/>
      <c r="K70" s="81"/>
      <c r="L70" s="81"/>
      <c r="M70" s="81"/>
      <c r="N70" s="81"/>
      <c r="O70" s="81"/>
      <c r="P70" s="187"/>
    </row>
    <row r="71" spans="2:16" s="146" customFormat="1" ht="18" hidden="1" customHeight="1" x14ac:dyDescent="0.25">
      <c r="C71" s="80"/>
      <c r="D71" s="81"/>
      <c r="E71" s="81"/>
      <c r="F71" s="81"/>
      <c r="G71" s="81"/>
      <c r="H71" s="81"/>
      <c r="I71" s="81"/>
      <c r="J71" s="81"/>
      <c r="K71" s="81"/>
      <c r="L71" s="81"/>
      <c r="M71" s="81"/>
      <c r="N71" s="81"/>
      <c r="O71" s="81"/>
      <c r="P71" s="187"/>
    </row>
    <row r="72" spans="2:16" s="146" customFormat="1" ht="18" hidden="1" customHeight="1" x14ac:dyDescent="0.25">
      <c r="C72" s="80"/>
      <c r="D72" s="81"/>
      <c r="E72" s="81"/>
      <c r="F72" s="81"/>
      <c r="G72" s="81"/>
      <c r="H72" s="81"/>
      <c r="I72" s="81"/>
      <c r="J72" s="81"/>
      <c r="K72" s="81"/>
      <c r="L72" s="81"/>
      <c r="M72" s="81"/>
      <c r="N72" s="81"/>
      <c r="O72" s="81"/>
      <c r="P72" s="187"/>
    </row>
    <row r="73" spans="2:16" s="146" customFormat="1" ht="18" hidden="1" customHeight="1" x14ac:dyDescent="0.25">
      <c r="C73" s="80"/>
      <c r="D73" s="81"/>
      <c r="E73" s="81"/>
      <c r="F73" s="81"/>
      <c r="G73" s="81"/>
      <c r="H73" s="81"/>
      <c r="I73" s="81"/>
      <c r="J73" s="81"/>
      <c r="K73" s="81"/>
      <c r="L73" s="81"/>
      <c r="M73" s="81"/>
      <c r="N73" s="81"/>
      <c r="O73" s="81"/>
      <c r="P73" s="187"/>
    </row>
    <row r="74" spans="2:16" s="146" customFormat="1" ht="18" hidden="1" customHeight="1" x14ac:dyDescent="0.25">
      <c r="C74" s="80"/>
      <c r="D74" s="81"/>
      <c r="E74" s="81"/>
      <c r="F74" s="81"/>
      <c r="G74" s="81"/>
      <c r="H74" s="81"/>
      <c r="I74" s="81"/>
      <c r="J74" s="81"/>
      <c r="K74" s="81"/>
      <c r="L74" s="81"/>
      <c r="M74" s="81"/>
      <c r="N74" s="81"/>
      <c r="O74" s="81"/>
      <c r="P74" s="187"/>
    </row>
    <row r="75" spans="2:16" s="146" customFormat="1" ht="18" hidden="1" customHeight="1" thickBot="1" x14ac:dyDescent="0.3">
      <c r="C75" s="80"/>
      <c r="D75" s="81"/>
      <c r="E75" s="81"/>
      <c r="F75" s="81"/>
      <c r="G75" s="81"/>
      <c r="H75" s="81"/>
      <c r="I75" s="81"/>
      <c r="J75" s="81"/>
      <c r="K75" s="81"/>
      <c r="L75" s="81"/>
      <c r="M75" s="81"/>
      <c r="N75" s="81"/>
      <c r="O75" s="96"/>
      <c r="P75" s="97"/>
    </row>
    <row r="76" spans="2:16" s="146" customFormat="1" ht="18" hidden="1" customHeight="1" x14ac:dyDescent="0.25">
      <c r="B76" s="31" t="s">
        <v>34</v>
      </c>
      <c r="C76" s="29"/>
      <c r="E76" s="30"/>
      <c r="F76" s="30"/>
      <c r="G76" s="1041" t="s">
        <v>343</v>
      </c>
      <c r="H76" s="1042"/>
      <c r="I76" s="1042"/>
      <c r="J76" s="1043"/>
      <c r="K76" s="1085">
        <f>'[25]MEMÓRIA DE CÁLCULO'!$K$88</f>
        <v>6</v>
      </c>
      <c r="L76" s="1086"/>
      <c r="M76" s="18"/>
      <c r="N76" s="18"/>
      <c r="O76" s="98"/>
      <c r="P76" s="99"/>
    </row>
    <row r="77" spans="2:16" s="146" customFormat="1" ht="18" hidden="1" customHeight="1" x14ac:dyDescent="0.25">
      <c r="B77" s="31" t="str">
        <f>C61</f>
        <v>1.5</v>
      </c>
      <c r="C77" s="29"/>
      <c r="E77" s="30"/>
      <c r="F77" s="30"/>
      <c r="G77" s="1082" t="s">
        <v>344</v>
      </c>
      <c r="H77" s="1083"/>
      <c r="I77" s="1083"/>
      <c r="J77" s="1084"/>
      <c r="K77" s="1075">
        <f>K76+O61</f>
        <v>6</v>
      </c>
      <c r="L77" s="1076"/>
      <c r="M77" s="18"/>
      <c r="N77" s="18"/>
      <c r="O77" s="98"/>
      <c r="P77" s="99"/>
    </row>
    <row r="78" spans="2:16" s="146" customFormat="1" ht="18" hidden="1" customHeight="1" x14ac:dyDescent="0.25">
      <c r="C78" s="29"/>
      <c r="D78" s="30"/>
      <c r="E78" s="30"/>
      <c r="F78" s="30"/>
      <c r="G78" s="1082" t="s">
        <v>345</v>
      </c>
      <c r="H78" s="1083"/>
      <c r="I78" s="1083"/>
      <c r="J78" s="1084"/>
      <c r="K78" s="1075">
        <f>VLOOKUP(C61,'[26]BM DETALHADO'!$B$13:$E$126,4,FALSE)</f>
        <v>6</v>
      </c>
      <c r="L78" s="1076"/>
      <c r="M78" s="18"/>
      <c r="N78" s="18"/>
      <c r="O78" s="98"/>
      <c r="P78" s="99"/>
    </row>
    <row r="79" spans="2:16" s="146" customFormat="1" ht="18" hidden="1" customHeight="1" thickBot="1" x14ac:dyDescent="0.3">
      <c r="C79" s="29"/>
      <c r="D79" s="30"/>
      <c r="E79" s="30"/>
      <c r="F79" s="30"/>
      <c r="G79" s="1077" t="s">
        <v>346</v>
      </c>
      <c r="H79" s="1078"/>
      <c r="I79" s="1078"/>
      <c r="J79" s="1079"/>
      <c r="K79" s="1068">
        <f>K78-K77</f>
        <v>0</v>
      </c>
      <c r="L79" s="1069"/>
      <c r="M79" s="18"/>
      <c r="N79" s="18"/>
      <c r="O79" s="98"/>
      <c r="P79" s="99"/>
    </row>
    <row r="80" spans="2:16" s="146" customFormat="1" ht="18" hidden="1" customHeight="1" thickBot="1" x14ac:dyDescent="0.3">
      <c r="C80" s="21"/>
      <c r="D80" s="22"/>
      <c r="E80" s="22"/>
      <c r="F80" s="22"/>
      <c r="G80" s="27"/>
      <c r="H80" s="27"/>
      <c r="I80" s="27"/>
      <c r="J80" s="27"/>
      <c r="K80" s="28"/>
      <c r="L80" s="28"/>
      <c r="M80" s="22"/>
      <c r="N80" s="22"/>
      <c r="O80" s="100"/>
      <c r="P80" s="101"/>
    </row>
    <row r="81" spans="3:16" s="146" customFormat="1" ht="18" hidden="1" customHeight="1" x14ac:dyDescent="0.25">
      <c r="C81" s="20" t="s">
        <v>34</v>
      </c>
      <c r="D81" s="1052" t="s">
        <v>35</v>
      </c>
      <c r="E81" s="1053"/>
      <c r="F81" s="1053"/>
      <c r="G81" s="1053"/>
      <c r="H81" s="1053"/>
      <c r="I81" s="1053"/>
      <c r="J81" s="1053"/>
      <c r="K81" s="1053"/>
      <c r="L81" s="1053"/>
      <c r="M81" s="1054"/>
      <c r="N81" s="145" t="s">
        <v>0</v>
      </c>
      <c r="O81" s="1107" t="s">
        <v>4</v>
      </c>
      <c r="P81" s="1108"/>
    </row>
    <row r="82" spans="3:16" s="146" customFormat="1" ht="36" hidden="1" customHeight="1" thickBot="1" x14ac:dyDescent="0.3">
      <c r="C82" s="85" t="s">
        <v>11</v>
      </c>
      <c r="D82" s="1070" t="str">
        <f>VLOOKUP(C82,'BM DETALHADO'!$B$13:$D$126,2,FALSE)</f>
        <v>PINTURA EPÓXI EM SUPERFÍCIES DE AÇO CARBONO, DUAS (2) DEMÃOS</v>
      </c>
      <c r="E82" s="1071"/>
      <c r="F82" s="1071"/>
      <c r="G82" s="1071"/>
      <c r="H82" s="1071"/>
      <c r="I82" s="1071"/>
      <c r="J82" s="1071"/>
      <c r="K82" s="1071"/>
      <c r="L82" s="1071"/>
      <c r="M82" s="1072"/>
      <c r="N82" s="19" t="str">
        <f>VLOOKUP(C82,'BM DETALHADO'!$B$13:$D$126,3,FALSE)</f>
        <v>M2</v>
      </c>
      <c r="O82" s="1109"/>
      <c r="P82" s="1110"/>
    </row>
    <row r="83" spans="3:16" s="146" customFormat="1" ht="18" hidden="1" customHeight="1" x14ac:dyDescent="0.25">
      <c r="C83" s="77"/>
      <c r="D83" s="78"/>
      <c r="E83" s="79"/>
      <c r="F83" s="79"/>
      <c r="G83" s="79"/>
      <c r="H83" s="79"/>
      <c r="I83" s="79"/>
      <c r="J83" s="79"/>
      <c r="K83" s="79"/>
      <c r="L83" s="79"/>
      <c r="M83" s="79"/>
      <c r="N83" s="79"/>
      <c r="O83" s="91"/>
      <c r="P83" s="92"/>
    </row>
    <row r="84" spans="3:16" s="146" customFormat="1" ht="18" hidden="1" customHeight="1" x14ac:dyDescent="0.25">
      <c r="C84" s="202"/>
      <c r="D84" s="233"/>
      <c r="E84" s="233"/>
      <c r="F84" s="233"/>
      <c r="G84" s="233"/>
      <c r="H84" s="233"/>
      <c r="I84" s="233"/>
      <c r="J84" s="233"/>
      <c r="K84" s="233"/>
      <c r="L84" s="233"/>
      <c r="M84" s="233"/>
      <c r="N84" s="233"/>
      <c r="O84" s="233"/>
      <c r="P84" s="234"/>
    </row>
    <row r="85" spans="3:16" s="146" customFormat="1" ht="18" hidden="1" customHeight="1" x14ac:dyDescent="0.25">
      <c r="C85" s="202"/>
      <c r="D85" s="233"/>
      <c r="E85" s="233"/>
      <c r="F85" s="233"/>
      <c r="G85" s="233"/>
      <c r="H85" s="233"/>
      <c r="I85" s="233"/>
      <c r="J85" s="233"/>
      <c r="K85" s="233"/>
      <c r="L85" s="233"/>
      <c r="M85" s="233"/>
      <c r="N85" s="233"/>
      <c r="O85" s="233"/>
      <c r="P85" s="234"/>
    </row>
    <row r="86" spans="3:16" s="146" customFormat="1" ht="18" hidden="1" customHeight="1" x14ac:dyDescent="0.25">
      <c r="C86" s="202"/>
      <c r="D86" s="233"/>
      <c r="E86" s="233"/>
      <c r="F86" s="233"/>
      <c r="G86" s="233"/>
      <c r="H86" s="233"/>
      <c r="I86" s="233"/>
      <c r="J86" s="233"/>
      <c r="K86" s="233"/>
      <c r="L86" s="233"/>
      <c r="M86" s="233"/>
      <c r="N86" s="233"/>
      <c r="O86" s="233"/>
      <c r="P86" s="234"/>
    </row>
    <row r="87" spans="3:16" s="146" customFormat="1" ht="18" hidden="1" customHeight="1" x14ac:dyDescent="0.25">
      <c r="C87" s="202"/>
      <c r="D87" s="233"/>
      <c r="E87" s="233"/>
      <c r="F87" s="233"/>
      <c r="G87" s="233"/>
      <c r="H87" s="233"/>
      <c r="I87" s="233"/>
      <c r="J87" s="233"/>
      <c r="K87" s="233"/>
      <c r="L87" s="233"/>
      <c r="M87" s="233"/>
      <c r="N87" s="233"/>
      <c r="O87" s="233"/>
      <c r="P87" s="234"/>
    </row>
    <row r="88" spans="3:16" s="146" customFormat="1" ht="18" hidden="1" customHeight="1" x14ac:dyDescent="0.25">
      <c r="C88" s="202"/>
      <c r="D88" s="233"/>
      <c r="E88" s="233"/>
      <c r="F88" s="233"/>
      <c r="G88" s="233"/>
      <c r="H88" s="233"/>
      <c r="I88" s="233"/>
      <c r="J88" s="233"/>
      <c r="K88" s="233"/>
      <c r="L88" s="233"/>
      <c r="M88" s="233"/>
      <c r="N88" s="233"/>
      <c r="O88" s="233"/>
      <c r="P88" s="234"/>
    </row>
    <row r="89" spans="3:16" s="146" customFormat="1" ht="18" hidden="1" customHeight="1" x14ac:dyDescent="0.25">
      <c r="C89" s="202"/>
      <c r="D89" s="233"/>
      <c r="E89" s="233"/>
      <c r="F89" s="233"/>
      <c r="G89" s="233"/>
      <c r="H89" s="233"/>
      <c r="I89" s="233"/>
      <c r="J89" s="233"/>
      <c r="K89" s="233"/>
      <c r="L89" s="233"/>
      <c r="M89" s="233"/>
      <c r="N89" s="233"/>
      <c r="O89" s="233"/>
      <c r="P89" s="234"/>
    </row>
    <row r="90" spans="3:16" s="146" customFormat="1" ht="18" hidden="1" customHeight="1" x14ac:dyDescent="0.25">
      <c r="C90" s="202"/>
      <c r="D90" s="233"/>
      <c r="E90" s="233"/>
      <c r="F90" s="233"/>
      <c r="G90" s="233"/>
      <c r="H90" s="233"/>
      <c r="I90" s="233"/>
      <c r="J90" s="233"/>
      <c r="K90" s="233"/>
      <c r="L90" s="233"/>
      <c r="M90" s="233"/>
      <c r="N90" s="233"/>
      <c r="O90" s="233"/>
      <c r="P90" s="234"/>
    </row>
    <row r="91" spans="3:16" s="146" customFormat="1" ht="18" hidden="1" customHeight="1" x14ac:dyDescent="0.25">
      <c r="C91" s="202"/>
      <c r="D91" s="233"/>
      <c r="E91" s="233"/>
      <c r="F91" s="233"/>
      <c r="G91" s="233"/>
      <c r="H91" s="233"/>
      <c r="I91" s="233"/>
      <c r="J91" s="233"/>
      <c r="K91" s="233"/>
      <c r="L91" s="233"/>
      <c r="M91" s="233"/>
      <c r="N91" s="233"/>
      <c r="O91" s="233"/>
      <c r="P91" s="234"/>
    </row>
    <row r="92" spans="3:16" s="146" customFormat="1" ht="18" hidden="1" customHeight="1" x14ac:dyDescent="0.25">
      <c r="C92" s="202"/>
      <c r="D92" s="233"/>
      <c r="E92" s="233"/>
      <c r="F92" s="233"/>
      <c r="G92" s="233"/>
      <c r="H92" s="233"/>
      <c r="I92" s="233"/>
      <c r="J92" s="233"/>
      <c r="K92" s="233"/>
      <c r="L92" s="233"/>
      <c r="M92" s="233"/>
      <c r="N92" s="233"/>
      <c r="O92" s="233"/>
      <c r="P92" s="234"/>
    </row>
    <row r="93" spans="3:16" s="146" customFormat="1" ht="18" hidden="1" customHeight="1" x14ac:dyDescent="0.25">
      <c r="C93" s="202"/>
      <c r="D93" s="233"/>
      <c r="E93" s="233"/>
      <c r="F93" s="233"/>
      <c r="G93" s="233"/>
      <c r="H93" s="233"/>
      <c r="I93" s="233"/>
      <c r="J93" s="233"/>
      <c r="K93" s="233"/>
      <c r="L93" s="233"/>
      <c r="M93" s="233"/>
      <c r="N93" s="233"/>
      <c r="O93" s="233"/>
      <c r="P93" s="234"/>
    </row>
    <row r="94" spans="3:16" s="146" customFormat="1" ht="18" hidden="1" customHeight="1" x14ac:dyDescent="0.25">
      <c r="C94" s="202"/>
      <c r="D94" s="233"/>
      <c r="E94" s="233"/>
      <c r="F94" s="233"/>
      <c r="G94" s="233"/>
      <c r="H94" s="233"/>
      <c r="I94" s="233"/>
      <c r="J94" s="233"/>
      <c r="K94" s="233"/>
      <c r="L94" s="233"/>
      <c r="M94" s="233"/>
      <c r="N94" s="233"/>
      <c r="O94" s="233"/>
      <c r="P94" s="234"/>
    </row>
    <row r="95" spans="3:16" s="146" customFormat="1" ht="18" hidden="1" customHeight="1" x14ac:dyDescent="0.25">
      <c r="C95" s="202"/>
      <c r="D95" s="233"/>
      <c r="E95" s="233"/>
      <c r="F95" s="233"/>
      <c r="G95" s="233"/>
      <c r="H95" s="233"/>
      <c r="I95" s="233"/>
      <c r="J95" s="233"/>
      <c r="K95" s="233"/>
      <c r="L95" s="233"/>
      <c r="M95" s="233"/>
      <c r="N95" s="233"/>
      <c r="O95" s="233"/>
      <c r="P95" s="234"/>
    </row>
    <row r="96" spans="3:16" s="146" customFormat="1" ht="18" hidden="1" customHeight="1" thickBot="1" x14ac:dyDescent="0.3">
      <c r="C96" s="202"/>
      <c r="D96" s="233"/>
      <c r="E96" s="233"/>
      <c r="F96" s="233"/>
      <c r="G96" s="233"/>
      <c r="H96" s="233"/>
      <c r="I96" s="233"/>
      <c r="J96" s="233"/>
      <c r="K96" s="233"/>
      <c r="L96" s="233"/>
      <c r="M96" s="233"/>
      <c r="N96" s="233"/>
      <c r="O96" s="233"/>
      <c r="P96" s="234"/>
    </row>
    <row r="97" spans="2:16" s="146" customFormat="1" ht="18" hidden="1" customHeight="1" x14ac:dyDescent="0.25">
      <c r="B97" s="31" t="s">
        <v>34</v>
      </c>
      <c r="C97" s="202"/>
      <c r="D97" s="233"/>
      <c r="E97" s="233"/>
      <c r="F97" s="233"/>
      <c r="G97" s="1041" t="s">
        <v>343</v>
      </c>
      <c r="H97" s="1042"/>
      <c r="I97" s="1042"/>
      <c r="J97" s="1043"/>
      <c r="K97" s="1085">
        <f>'[25]MEMÓRIA DE CÁLCULO'!$K$109</f>
        <v>555.70000000000005</v>
      </c>
      <c r="L97" s="1086"/>
      <c r="M97" s="233"/>
      <c r="N97" s="233"/>
      <c r="O97" s="233"/>
      <c r="P97" s="234"/>
    </row>
    <row r="98" spans="2:16" s="146" customFormat="1" ht="18" hidden="1" customHeight="1" x14ac:dyDescent="0.25">
      <c r="B98" s="31" t="str">
        <f>C82</f>
        <v>1.6</v>
      </c>
      <c r="C98" s="202"/>
      <c r="D98" s="233"/>
      <c r="E98" s="233"/>
      <c r="F98" s="233"/>
      <c r="G98" s="1082" t="s">
        <v>344</v>
      </c>
      <c r="H98" s="1083"/>
      <c r="I98" s="1083"/>
      <c r="J98" s="1084"/>
      <c r="K98" s="1075">
        <f>K97+O82</f>
        <v>555.70000000000005</v>
      </c>
      <c r="L98" s="1076"/>
      <c r="M98" s="233"/>
      <c r="N98" s="233"/>
      <c r="O98" s="233"/>
      <c r="P98" s="234"/>
    </row>
    <row r="99" spans="2:16" s="146" customFormat="1" ht="18" hidden="1" customHeight="1" x14ac:dyDescent="0.25">
      <c r="C99" s="202"/>
      <c r="D99" s="233"/>
      <c r="E99" s="233"/>
      <c r="F99" s="233"/>
      <c r="G99" s="1082" t="s">
        <v>345</v>
      </c>
      <c r="H99" s="1083"/>
      <c r="I99" s="1083"/>
      <c r="J99" s="1084"/>
      <c r="K99" s="1075">
        <f>VLOOKUP(C82,'[26]BM DETALHADO'!$B$13:$E$126,4,FALSE)</f>
        <v>667.80000000000007</v>
      </c>
      <c r="L99" s="1076"/>
      <c r="M99" s="233"/>
      <c r="N99" s="233"/>
      <c r="O99" s="233"/>
      <c r="P99" s="234"/>
    </row>
    <row r="100" spans="2:16" s="146" customFormat="1" ht="18" hidden="1" customHeight="1" thickBot="1" x14ac:dyDescent="0.3">
      <c r="C100" s="202"/>
      <c r="D100" s="233"/>
      <c r="E100" s="233"/>
      <c r="F100" s="233"/>
      <c r="G100" s="1077" t="s">
        <v>346</v>
      </c>
      <c r="H100" s="1078"/>
      <c r="I100" s="1078"/>
      <c r="J100" s="1079"/>
      <c r="K100" s="1068">
        <f>K99-K98</f>
        <v>112.10000000000002</v>
      </c>
      <c r="L100" s="1069"/>
      <c r="M100" s="233"/>
      <c r="N100" s="233"/>
      <c r="O100" s="233"/>
      <c r="P100" s="234"/>
    </row>
    <row r="101" spans="2:16" s="146" customFormat="1" ht="18" hidden="1" customHeight="1" thickBot="1" x14ac:dyDescent="0.3">
      <c r="C101" s="21"/>
      <c r="D101" s="22"/>
      <c r="E101" s="22"/>
      <c r="F101" s="22"/>
      <c r="G101" s="27"/>
      <c r="H101" s="27"/>
      <c r="I101" s="27"/>
      <c r="J101" s="27"/>
      <c r="K101" s="28"/>
      <c r="L101" s="28"/>
      <c r="M101" s="22"/>
      <c r="N101" s="22"/>
      <c r="O101" s="100"/>
      <c r="P101" s="101"/>
    </row>
    <row r="102" spans="2:16" s="146" customFormat="1" ht="18" hidden="1" customHeight="1" x14ac:dyDescent="0.25">
      <c r="C102" s="20" t="s">
        <v>34</v>
      </c>
      <c r="D102" s="1052" t="s">
        <v>35</v>
      </c>
      <c r="E102" s="1053"/>
      <c r="F102" s="1053"/>
      <c r="G102" s="1053"/>
      <c r="H102" s="1053"/>
      <c r="I102" s="1053"/>
      <c r="J102" s="1053"/>
      <c r="K102" s="1053"/>
      <c r="L102" s="1053"/>
      <c r="M102" s="1054"/>
      <c r="N102" s="145" t="s">
        <v>0</v>
      </c>
      <c r="O102" s="1107" t="s">
        <v>4</v>
      </c>
      <c r="P102" s="1108"/>
    </row>
    <row r="103" spans="2:16" s="146" customFormat="1" ht="45.75" hidden="1" customHeight="1" thickBot="1" x14ac:dyDescent="0.3">
      <c r="C103" s="85" t="s">
        <v>12</v>
      </c>
      <c r="D103" s="1070" t="str">
        <f>VLOOKUP(C103,'BM DETALHADO'!$B$13:$D$126,2,FALSE)</f>
        <v>LIGAÇÃO PROVISÓRIA DE LUZ E FORÇA-PADRÃO PROVISÓRIO 30KVA</v>
      </c>
      <c r="E103" s="1071"/>
      <c r="F103" s="1071"/>
      <c r="G103" s="1071"/>
      <c r="H103" s="1071"/>
      <c r="I103" s="1071"/>
      <c r="J103" s="1071"/>
      <c r="K103" s="1071"/>
      <c r="L103" s="1071"/>
      <c r="M103" s="1072"/>
      <c r="N103" s="19" t="str">
        <f>VLOOKUP(C103,'BM DETALHADO'!$B$13:$D$126,3,FALSE)</f>
        <v>U</v>
      </c>
      <c r="O103" s="1109"/>
      <c r="P103" s="1110"/>
    </row>
    <row r="104" spans="2:16" s="146" customFormat="1" ht="18" hidden="1" customHeight="1" x14ac:dyDescent="0.25">
      <c r="C104" s="77"/>
      <c r="D104" s="78"/>
      <c r="E104" s="79"/>
      <c r="F104" s="79"/>
      <c r="G104" s="79"/>
      <c r="H104" s="79"/>
      <c r="I104" s="79"/>
      <c r="J104" s="79"/>
      <c r="K104" s="79"/>
      <c r="L104" s="79"/>
      <c r="M104" s="79"/>
      <c r="N104" s="79"/>
      <c r="O104" s="91"/>
      <c r="P104" s="92"/>
    </row>
    <row r="105" spans="2:16" s="146" customFormat="1" ht="18" hidden="1" customHeight="1" x14ac:dyDescent="0.25">
      <c r="C105" s="147"/>
      <c r="D105" s="1259"/>
      <c r="E105" s="1259"/>
      <c r="F105" s="1259"/>
      <c r="G105" s="179"/>
      <c r="H105" s="178"/>
      <c r="I105" s="176"/>
      <c r="J105" s="155"/>
      <c r="K105" s="154"/>
      <c r="L105" s="155"/>
      <c r="M105" s="1253"/>
      <c r="N105" s="1253"/>
      <c r="O105" s="148"/>
      <c r="P105" s="93"/>
    </row>
    <row r="106" spans="2:16" s="146" customFormat="1" ht="18" hidden="1" customHeight="1" x14ac:dyDescent="0.25">
      <c r="C106" s="147"/>
      <c r="D106" s="152"/>
      <c r="E106" s="152"/>
      <c r="F106" s="152"/>
      <c r="G106" s="152"/>
      <c r="H106" s="153"/>
      <c r="I106" s="153"/>
      <c r="J106" s="153"/>
      <c r="K106" s="153"/>
      <c r="L106" s="153"/>
      <c r="M106" s="153"/>
      <c r="N106" s="153"/>
      <c r="O106" s="94"/>
      <c r="P106" s="93"/>
    </row>
    <row r="107" spans="2:16" s="146" customFormat="1" ht="18" hidden="1" customHeight="1" x14ac:dyDescent="0.25">
      <c r="C107" s="1183"/>
      <c r="D107" s="1249"/>
      <c r="E107" s="1249"/>
      <c r="F107" s="1249"/>
      <c r="G107" s="1249"/>
      <c r="H107" s="1250"/>
      <c r="I107" s="1251"/>
      <c r="J107" s="1252"/>
      <c r="K107" s="1251"/>
      <c r="L107" s="1252"/>
      <c r="M107" s="1253"/>
      <c r="N107" s="1253"/>
      <c r="O107" s="1253"/>
      <c r="P107" s="93"/>
    </row>
    <row r="108" spans="2:16" s="146" customFormat="1" ht="18" hidden="1" customHeight="1" x14ac:dyDescent="0.25">
      <c r="C108" s="1183"/>
      <c r="D108" s="1249"/>
      <c r="E108" s="1249"/>
      <c r="F108" s="1249"/>
      <c r="G108" s="1249"/>
      <c r="H108" s="1250"/>
      <c r="I108" s="1251"/>
      <c r="J108" s="1252"/>
      <c r="K108" s="1251"/>
      <c r="L108" s="1252"/>
      <c r="M108" s="1253"/>
      <c r="N108" s="1253"/>
      <c r="O108" s="1253"/>
      <c r="P108" s="93"/>
    </row>
    <row r="109" spans="2:16" s="146" customFormat="1" ht="18" hidden="1" customHeight="1" x14ac:dyDescent="0.25">
      <c r="C109" s="1183"/>
      <c r="D109" s="1249"/>
      <c r="E109" s="1249"/>
      <c r="F109" s="1249"/>
      <c r="G109" s="1249"/>
      <c r="H109" s="1250"/>
      <c r="I109" s="1251"/>
      <c r="J109" s="1252"/>
      <c r="K109" s="1251"/>
      <c r="L109" s="1252"/>
      <c r="M109" s="1253"/>
      <c r="N109" s="1253"/>
      <c r="O109" s="1253"/>
      <c r="P109" s="93"/>
    </row>
    <row r="110" spans="2:16" s="146" customFormat="1" ht="18" hidden="1" customHeight="1" x14ac:dyDescent="0.25">
      <c r="C110" s="1183"/>
      <c r="D110" s="1249"/>
      <c r="E110" s="1249"/>
      <c r="F110" s="1249"/>
      <c r="G110" s="1249"/>
      <c r="H110" s="1250"/>
      <c r="I110" s="1251"/>
      <c r="J110" s="1252"/>
      <c r="K110" s="1251"/>
      <c r="L110" s="1252"/>
      <c r="M110" s="1253"/>
      <c r="N110" s="1253"/>
      <c r="O110" s="1253"/>
      <c r="P110" s="93"/>
    </row>
    <row r="111" spans="2:16" s="146" customFormat="1" ht="18" hidden="1" customHeight="1" x14ac:dyDescent="0.25">
      <c r="C111" s="1183"/>
      <c r="D111" s="1249"/>
      <c r="E111" s="1249"/>
      <c r="F111" s="1249"/>
      <c r="G111" s="1249"/>
      <c r="H111" s="1250"/>
      <c r="I111" s="1251"/>
      <c r="J111" s="1252"/>
      <c r="K111" s="1251"/>
      <c r="L111" s="1252"/>
      <c r="M111" s="1253"/>
      <c r="N111" s="1253"/>
      <c r="O111" s="1253"/>
      <c r="P111" s="93"/>
    </row>
    <row r="112" spans="2:16" s="146" customFormat="1" ht="18" hidden="1" customHeight="1" x14ac:dyDescent="0.25">
      <c r="C112" s="80"/>
      <c r="D112" s="81"/>
      <c r="E112" s="153"/>
      <c r="F112" s="153"/>
      <c r="G112" s="153"/>
      <c r="H112" s="153"/>
      <c r="I112" s="153"/>
      <c r="J112" s="153"/>
      <c r="K112" s="153"/>
      <c r="L112" s="153"/>
      <c r="M112" s="153"/>
      <c r="N112" s="153"/>
      <c r="O112" s="94"/>
      <c r="P112" s="93"/>
    </row>
    <row r="113" spans="2:16" s="146" customFormat="1" ht="18" hidden="1" customHeight="1" x14ac:dyDescent="0.25">
      <c r="C113" s="80"/>
      <c r="D113" s="1278"/>
      <c r="E113" s="1278"/>
      <c r="F113" s="1278"/>
      <c r="G113" s="1278"/>
      <c r="H113" s="1278"/>
      <c r="I113" s="1278"/>
      <c r="J113" s="1278"/>
      <c r="K113" s="1278"/>
      <c r="L113" s="150"/>
      <c r="M113" s="1279"/>
      <c r="N113" s="1128"/>
      <c r="O113" s="95"/>
      <c r="P113" s="93"/>
    </row>
    <row r="114" spans="2:16" s="146" customFormat="1" ht="18" hidden="1" customHeight="1" x14ac:dyDescent="0.25">
      <c r="C114" s="80"/>
      <c r="D114" s="151"/>
      <c r="E114" s="151"/>
      <c r="F114" s="151"/>
      <c r="G114" s="151"/>
      <c r="H114" s="151"/>
      <c r="I114" s="151"/>
      <c r="J114" s="151"/>
      <c r="K114" s="151"/>
      <c r="L114" s="150"/>
      <c r="M114" s="149"/>
      <c r="N114" s="150"/>
      <c r="O114" s="95"/>
      <c r="P114" s="93"/>
    </row>
    <row r="115" spans="2:16" s="146" customFormat="1" ht="18" hidden="1" customHeight="1" x14ac:dyDescent="0.25">
      <c r="C115" s="80"/>
      <c r="D115" s="151"/>
      <c r="E115" s="151"/>
      <c r="F115" s="151"/>
      <c r="G115" s="151"/>
      <c r="H115" s="151"/>
      <c r="I115" s="151"/>
      <c r="J115" s="151"/>
      <c r="K115" s="151"/>
      <c r="L115" s="150"/>
      <c r="M115" s="149"/>
      <c r="N115" s="150"/>
      <c r="O115" s="95"/>
      <c r="P115" s="93"/>
    </row>
    <row r="116" spans="2:16" s="146" customFormat="1" ht="18" hidden="1" customHeight="1" x14ac:dyDescent="0.25">
      <c r="C116" s="80"/>
      <c r="D116" s="151"/>
      <c r="E116" s="151"/>
      <c r="F116" s="151"/>
      <c r="G116" s="151"/>
      <c r="H116" s="151"/>
      <c r="I116" s="151"/>
      <c r="J116" s="151"/>
      <c r="K116" s="151"/>
      <c r="L116" s="150"/>
      <c r="M116" s="149"/>
      <c r="N116" s="150"/>
      <c r="O116" s="95"/>
      <c r="P116" s="93"/>
    </row>
    <row r="117" spans="2:16" s="146" customFormat="1" ht="18" hidden="1" customHeight="1" thickBot="1" x14ac:dyDescent="0.3">
      <c r="C117" s="80"/>
      <c r="D117" s="81"/>
      <c r="E117" s="81"/>
      <c r="F117" s="81"/>
      <c r="G117" s="81"/>
      <c r="H117" s="81"/>
      <c r="I117" s="81"/>
      <c r="J117" s="81"/>
      <c r="K117" s="81"/>
      <c r="L117" s="81"/>
      <c r="M117" s="81"/>
      <c r="N117" s="81"/>
      <c r="O117" s="96"/>
      <c r="P117" s="97"/>
    </row>
    <row r="118" spans="2:16" s="146" customFormat="1" ht="18" hidden="1" customHeight="1" x14ac:dyDescent="0.25">
      <c r="B118" s="31" t="s">
        <v>34</v>
      </c>
      <c r="C118" s="29"/>
      <c r="E118" s="30"/>
      <c r="F118" s="30"/>
      <c r="G118" s="1041" t="s">
        <v>343</v>
      </c>
      <c r="H118" s="1042"/>
      <c r="I118" s="1042"/>
      <c r="J118" s="1043"/>
      <c r="K118" s="1085">
        <f>'[25]MEMÓRIA DE CÁLCULO'!$K$130</f>
        <v>1</v>
      </c>
      <c r="L118" s="1086"/>
      <c r="M118" s="18"/>
      <c r="N118" s="18"/>
      <c r="O118" s="98"/>
      <c r="P118" s="99"/>
    </row>
    <row r="119" spans="2:16" s="146" customFormat="1" ht="18" hidden="1" customHeight="1" x14ac:dyDescent="0.25">
      <c r="B119" s="31" t="str">
        <f>C103</f>
        <v>1.7</v>
      </c>
      <c r="C119" s="29"/>
      <c r="E119" s="30"/>
      <c r="F119" s="30"/>
      <c r="G119" s="1082" t="s">
        <v>344</v>
      </c>
      <c r="H119" s="1083"/>
      <c r="I119" s="1083"/>
      <c r="J119" s="1084"/>
      <c r="K119" s="1075">
        <f>K118+O103</f>
        <v>1</v>
      </c>
      <c r="L119" s="1076"/>
      <c r="M119" s="18"/>
      <c r="N119" s="18"/>
      <c r="O119" s="98"/>
      <c r="P119" s="99"/>
    </row>
    <row r="120" spans="2:16" s="146" customFormat="1" ht="18" hidden="1" customHeight="1" x14ac:dyDescent="0.25">
      <c r="C120" s="29"/>
      <c r="D120" s="30"/>
      <c r="E120" s="30"/>
      <c r="F120" s="30"/>
      <c r="G120" s="1082" t="s">
        <v>345</v>
      </c>
      <c r="H120" s="1083"/>
      <c r="I120" s="1083"/>
      <c r="J120" s="1084"/>
      <c r="K120" s="1075">
        <f>VLOOKUP(C103,'[26]BM DETALHADO'!$B$13:$E$126,4,FALSE)</f>
        <v>1</v>
      </c>
      <c r="L120" s="1076"/>
      <c r="M120" s="18"/>
      <c r="N120" s="18"/>
      <c r="O120" s="98"/>
      <c r="P120" s="99"/>
    </row>
    <row r="121" spans="2:16" s="146" customFormat="1" ht="18" hidden="1" customHeight="1" thickBot="1" x14ac:dyDescent="0.3">
      <c r="C121" s="29"/>
      <c r="D121" s="30"/>
      <c r="E121" s="30"/>
      <c r="F121" s="30"/>
      <c r="G121" s="1077" t="s">
        <v>346</v>
      </c>
      <c r="H121" s="1078"/>
      <c r="I121" s="1078"/>
      <c r="J121" s="1079"/>
      <c r="K121" s="1068">
        <f>K120-K119</f>
        <v>0</v>
      </c>
      <c r="L121" s="1069"/>
      <c r="M121" s="18"/>
      <c r="N121" s="18"/>
      <c r="O121" s="98"/>
      <c r="P121" s="99"/>
    </row>
    <row r="122" spans="2:16" s="146" customFormat="1" ht="18" hidden="1" customHeight="1" thickBot="1" x14ac:dyDescent="0.3">
      <c r="C122" s="21"/>
      <c r="D122" s="22"/>
      <c r="E122" s="22"/>
      <c r="F122" s="22"/>
      <c r="G122" s="27"/>
      <c r="H122" s="27"/>
      <c r="I122" s="27"/>
      <c r="J122" s="27"/>
      <c r="K122" s="28"/>
      <c r="L122" s="28"/>
      <c r="M122" s="22"/>
      <c r="N122" s="22"/>
      <c r="O122" s="100"/>
      <c r="P122" s="101"/>
    </row>
    <row r="123" spans="2:16" s="146" customFormat="1" ht="18" hidden="1" customHeight="1" x14ac:dyDescent="0.25">
      <c r="C123" s="20" t="s">
        <v>34</v>
      </c>
      <c r="D123" s="1052" t="s">
        <v>35</v>
      </c>
      <c r="E123" s="1053"/>
      <c r="F123" s="1053"/>
      <c r="G123" s="1053"/>
      <c r="H123" s="1053"/>
      <c r="I123" s="1053"/>
      <c r="J123" s="1053"/>
      <c r="K123" s="1053"/>
      <c r="L123" s="1053"/>
      <c r="M123" s="1054"/>
      <c r="N123" s="145" t="s">
        <v>0</v>
      </c>
      <c r="O123" s="1107" t="s">
        <v>4</v>
      </c>
      <c r="P123" s="1108"/>
    </row>
    <row r="124" spans="2:16" s="146" customFormat="1" ht="54.75" hidden="1" customHeight="1" thickBot="1" x14ac:dyDescent="0.3">
      <c r="C124" s="85" t="s">
        <v>13</v>
      </c>
      <c r="D124" s="1070" t="str">
        <f>VLOOKUP(C124,'BM DETALHADO'!$B$13:$D$126,2,FALSE)</f>
        <v>CONTAINER (6,0X2,3X2,5M) COM ISOLAMENTO TÉRMICO - ESCRITÓRIO COM AR CONDICIONADO E SANITÁRIO COMPLETO</v>
      </c>
      <c r="E124" s="1071"/>
      <c r="F124" s="1071"/>
      <c r="G124" s="1071"/>
      <c r="H124" s="1071"/>
      <c r="I124" s="1071"/>
      <c r="J124" s="1071"/>
      <c r="K124" s="1071"/>
      <c r="L124" s="1071"/>
      <c r="M124" s="1072"/>
      <c r="N124" s="19" t="str">
        <f>VLOOKUP(C124,'BM DETALHADO'!$B$13:$D$126,3,FALSE)</f>
        <v>MÊS</v>
      </c>
      <c r="O124" s="1109"/>
      <c r="P124" s="1110"/>
    </row>
    <row r="125" spans="2:16" s="146" customFormat="1" ht="18" hidden="1" customHeight="1" x14ac:dyDescent="0.25">
      <c r="C125" s="77"/>
      <c r="D125" s="78"/>
      <c r="E125" s="79"/>
      <c r="F125" s="79"/>
      <c r="G125" s="79"/>
      <c r="H125" s="79"/>
      <c r="I125" s="79"/>
      <c r="J125" s="79"/>
      <c r="K125" s="79"/>
      <c r="L125" s="79"/>
      <c r="M125" s="79"/>
      <c r="N125" s="79"/>
      <c r="O125" s="91"/>
      <c r="P125" s="92"/>
    </row>
    <row r="126" spans="2:16" s="146" customFormat="1" ht="18" hidden="1" customHeight="1" x14ac:dyDescent="0.25">
      <c r="C126" s="147"/>
      <c r="D126" s="81"/>
      <c r="E126" s="81"/>
      <c r="F126" s="81"/>
      <c r="G126" s="81"/>
      <c r="H126" s="81"/>
      <c r="I126" s="81"/>
      <c r="J126" s="81"/>
      <c r="K126" s="81"/>
      <c r="L126" s="81"/>
      <c r="M126" s="81"/>
      <c r="N126" s="81"/>
      <c r="O126" s="81"/>
      <c r="P126" s="187"/>
    </row>
    <row r="127" spans="2:16" s="146" customFormat="1" ht="18" hidden="1" customHeight="1" x14ac:dyDescent="0.25">
      <c r="C127" s="147"/>
      <c r="D127" s="81"/>
      <c r="E127" s="81"/>
      <c r="F127" s="81"/>
      <c r="G127" s="81"/>
      <c r="H127" s="81"/>
      <c r="I127" s="81"/>
      <c r="J127" s="81"/>
      <c r="K127" s="81"/>
      <c r="L127" s="81"/>
      <c r="M127" s="81"/>
      <c r="N127" s="81"/>
      <c r="O127" s="81"/>
      <c r="P127" s="187"/>
    </row>
    <row r="128" spans="2:16" s="146" customFormat="1" ht="18" hidden="1" customHeight="1" x14ac:dyDescent="0.25">
      <c r="C128" s="1183"/>
      <c r="D128" s="81"/>
      <c r="E128" s="81"/>
      <c r="F128" s="81"/>
      <c r="G128" s="81"/>
      <c r="H128" s="81"/>
      <c r="I128" s="167"/>
      <c r="J128" s="168"/>
      <c r="K128" s="167"/>
      <c r="L128" s="168"/>
      <c r="M128" s="169"/>
      <c r="N128" s="169"/>
      <c r="O128" s="169"/>
      <c r="P128" s="93"/>
    </row>
    <row r="129" spans="2:16" s="146" customFormat="1" ht="18" hidden="1" customHeight="1" x14ac:dyDescent="0.25">
      <c r="C129" s="1183"/>
      <c r="D129" s="182"/>
      <c r="E129" s="182"/>
      <c r="F129" s="182"/>
      <c r="G129" s="205"/>
      <c r="H129" s="182"/>
      <c r="I129" s="201"/>
      <c r="J129" s="168"/>
      <c r="K129" s="167"/>
      <c r="L129" s="168"/>
      <c r="M129" s="169"/>
      <c r="N129" s="169"/>
      <c r="O129" s="169"/>
      <c r="P129" s="93"/>
    </row>
    <row r="130" spans="2:16" s="146" customFormat="1" ht="18" hidden="1" customHeight="1" x14ac:dyDescent="0.25">
      <c r="C130" s="1183"/>
      <c r="D130" s="81"/>
      <c r="E130" s="81"/>
      <c r="F130" s="81"/>
      <c r="G130" s="81"/>
      <c r="H130" s="81"/>
      <c r="I130" s="167"/>
      <c r="J130" s="168"/>
      <c r="K130" s="167"/>
      <c r="L130" s="168"/>
      <c r="M130" s="169"/>
      <c r="N130" s="169"/>
      <c r="O130" s="169"/>
      <c r="P130" s="93"/>
    </row>
    <row r="131" spans="2:16" s="146" customFormat="1" ht="18" hidden="1" customHeight="1" x14ac:dyDescent="0.25">
      <c r="C131" s="1183"/>
      <c r="D131" s="81"/>
      <c r="E131" s="81"/>
      <c r="F131" s="81"/>
      <c r="G131" s="81"/>
      <c r="H131" s="81"/>
      <c r="I131" s="167"/>
      <c r="J131" s="168"/>
      <c r="K131" s="167"/>
      <c r="L131" s="168"/>
      <c r="M131" s="169"/>
      <c r="N131" s="169"/>
      <c r="O131" s="169"/>
      <c r="P131" s="93"/>
    </row>
    <row r="132" spans="2:16" s="146" customFormat="1" ht="18" hidden="1" customHeight="1" x14ac:dyDescent="0.25">
      <c r="C132" s="1183"/>
      <c r="D132" s="81"/>
      <c r="E132" s="81"/>
      <c r="F132" s="81"/>
      <c r="G132" s="81"/>
      <c r="H132" s="81"/>
      <c r="I132" s="167"/>
      <c r="J132" s="168"/>
      <c r="K132" s="167"/>
      <c r="L132" s="168"/>
      <c r="M132" s="169"/>
      <c r="N132" s="169"/>
      <c r="O132" s="169"/>
      <c r="P132" s="93"/>
    </row>
    <row r="133" spans="2:16" s="146" customFormat="1" ht="18" hidden="1" customHeight="1" x14ac:dyDescent="0.25">
      <c r="C133" s="80"/>
      <c r="D133" s="81"/>
      <c r="E133" s="193"/>
      <c r="F133" s="193"/>
      <c r="G133" s="193"/>
      <c r="H133" s="193"/>
      <c r="I133" s="193"/>
      <c r="J133" s="193"/>
      <c r="K133" s="193"/>
      <c r="L133" s="193"/>
      <c r="M133" s="193"/>
      <c r="N133" s="193"/>
      <c r="O133" s="94"/>
      <c r="P133" s="93"/>
    </row>
    <row r="134" spans="2:16" s="146" customFormat="1" ht="18" hidden="1" customHeight="1" x14ac:dyDescent="0.25">
      <c r="C134" s="80"/>
      <c r="D134" s="180"/>
      <c r="E134" s="180"/>
      <c r="F134" s="180"/>
      <c r="G134" s="180"/>
      <c r="H134" s="180"/>
      <c r="I134" s="180"/>
      <c r="J134" s="180"/>
      <c r="K134" s="180"/>
      <c r="L134" s="196"/>
      <c r="M134" s="181"/>
      <c r="N134" s="182"/>
      <c r="O134" s="95"/>
      <c r="P134" s="93"/>
    </row>
    <row r="135" spans="2:16" s="146" customFormat="1" ht="18" hidden="1" customHeight="1" x14ac:dyDescent="0.25">
      <c r="C135" s="80"/>
      <c r="D135" s="194"/>
      <c r="E135" s="194"/>
      <c r="F135" s="194"/>
      <c r="G135" s="194"/>
      <c r="H135" s="194"/>
      <c r="I135" s="194"/>
      <c r="J135" s="194"/>
      <c r="K135" s="194"/>
      <c r="L135" s="196"/>
      <c r="M135" s="195"/>
      <c r="N135" s="196"/>
      <c r="O135" s="95"/>
      <c r="P135" s="93"/>
    </row>
    <row r="136" spans="2:16" s="146" customFormat="1" ht="18" hidden="1" customHeight="1" x14ac:dyDescent="0.25">
      <c r="C136" s="80"/>
      <c r="D136" s="194"/>
      <c r="E136" s="194"/>
      <c r="F136" s="194"/>
      <c r="G136" s="194"/>
      <c r="H136" s="194"/>
      <c r="I136" s="194"/>
      <c r="J136" s="194"/>
      <c r="K136" s="194"/>
      <c r="L136" s="196"/>
      <c r="M136" s="195"/>
      <c r="N136" s="196"/>
      <c r="O136" s="95"/>
      <c r="P136" s="93"/>
    </row>
    <row r="137" spans="2:16" s="146" customFormat="1" ht="18" hidden="1" customHeight="1" x14ac:dyDescent="0.25">
      <c r="C137" s="80"/>
      <c r="D137" s="194"/>
      <c r="E137" s="194"/>
      <c r="F137" s="194"/>
      <c r="G137" s="194"/>
      <c r="H137" s="194"/>
      <c r="I137" s="194"/>
      <c r="J137" s="194"/>
      <c r="K137" s="194"/>
      <c r="L137" s="196"/>
      <c r="M137" s="195"/>
      <c r="N137" s="196"/>
      <c r="O137" s="95"/>
      <c r="P137" s="93"/>
    </row>
    <row r="138" spans="2:16" s="146" customFormat="1" ht="18" hidden="1" customHeight="1" thickBot="1" x14ac:dyDescent="0.3">
      <c r="C138" s="80"/>
      <c r="D138" s="81"/>
      <c r="E138" s="81"/>
      <c r="F138" s="81"/>
      <c r="G138" s="81"/>
      <c r="H138" s="81"/>
      <c r="I138" s="81"/>
      <c r="J138" s="81"/>
      <c r="K138" s="81"/>
      <c r="L138" s="81"/>
      <c r="M138" s="81"/>
      <c r="N138" s="81"/>
      <c r="O138" s="96"/>
      <c r="P138" s="97"/>
    </row>
    <row r="139" spans="2:16" s="146" customFormat="1" ht="18" hidden="1" customHeight="1" x14ac:dyDescent="0.25">
      <c r="B139" s="31" t="s">
        <v>34</v>
      </c>
      <c r="C139" s="29"/>
      <c r="E139" s="30"/>
      <c r="F139" s="30"/>
      <c r="G139" s="1041" t="s">
        <v>343</v>
      </c>
      <c r="H139" s="1042"/>
      <c r="I139" s="1042"/>
      <c r="J139" s="1043"/>
      <c r="K139" s="1085">
        <f>'[25]MEMÓRIA DE CÁLCULO'!$K$151</f>
        <v>0</v>
      </c>
      <c r="L139" s="1086"/>
      <c r="M139" s="18"/>
      <c r="N139" s="18"/>
      <c r="O139" s="98"/>
      <c r="P139" s="99"/>
    </row>
    <row r="140" spans="2:16" s="146" customFormat="1" ht="18" hidden="1" customHeight="1" x14ac:dyDescent="0.25">
      <c r="B140" s="31" t="str">
        <f>C124</f>
        <v>1.8</v>
      </c>
      <c r="C140" s="29"/>
      <c r="E140" s="30"/>
      <c r="F140" s="30"/>
      <c r="G140" s="1082" t="s">
        <v>344</v>
      </c>
      <c r="H140" s="1083"/>
      <c r="I140" s="1083"/>
      <c r="J140" s="1084"/>
      <c r="K140" s="1075">
        <f>K139+O124</f>
        <v>0</v>
      </c>
      <c r="L140" s="1076"/>
      <c r="M140" s="18"/>
      <c r="N140" s="18"/>
      <c r="O140" s="98"/>
      <c r="P140" s="99"/>
    </row>
    <row r="141" spans="2:16" s="146" customFormat="1" ht="18" hidden="1" customHeight="1" x14ac:dyDescent="0.25">
      <c r="C141" s="29"/>
      <c r="D141" s="30"/>
      <c r="E141" s="30"/>
      <c r="F141" s="30"/>
      <c r="G141" s="1082" t="s">
        <v>345</v>
      </c>
      <c r="H141" s="1083"/>
      <c r="I141" s="1083"/>
      <c r="J141" s="1084"/>
      <c r="K141" s="1075">
        <f>VLOOKUP(C124,'[26]BM DETALHADO'!$B$13:$E$126,4,FALSE)</f>
        <v>12</v>
      </c>
      <c r="L141" s="1076"/>
      <c r="M141" s="18"/>
      <c r="N141" s="18"/>
      <c r="O141" s="98"/>
      <c r="P141" s="99"/>
    </row>
    <row r="142" spans="2:16" s="146" customFormat="1" ht="18" hidden="1" customHeight="1" thickBot="1" x14ac:dyDescent="0.3">
      <c r="C142" s="29"/>
      <c r="D142" s="30"/>
      <c r="E142" s="30"/>
      <c r="F142" s="30"/>
      <c r="G142" s="1077" t="s">
        <v>346</v>
      </c>
      <c r="H142" s="1078"/>
      <c r="I142" s="1078"/>
      <c r="J142" s="1079"/>
      <c r="K142" s="1068">
        <f>K141-K140</f>
        <v>12</v>
      </c>
      <c r="L142" s="1069"/>
      <c r="M142" s="18"/>
      <c r="N142" s="18"/>
      <c r="O142" s="98"/>
      <c r="P142" s="99"/>
    </row>
    <row r="143" spans="2:16" s="146" customFormat="1" ht="18" hidden="1" customHeight="1" thickBot="1" x14ac:dyDescent="0.3">
      <c r="C143" s="21"/>
      <c r="D143" s="22"/>
      <c r="E143" s="22"/>
      <c r="F143" s="22"/>
      <c r="G143" s="27"/>
      <c r="H143" s="27"/>
      <c r="I143" s="27"/>
      <c r="J143" s="27"/>
      <c r="K143" s="28"/>
      <c r="L143" s="28"/>
      <c r="M143" s="22"/>
      <c r="N143" s="22"/>
      <c r="O143" s="100"/>
      <c r="P143" s="101"/>
    </row>
    <row r="144" spans="2:16" s="146" customFormat="1" ht="18" hidden="1" customHeight="1" x14ac:dyDescent="0.25">
      <c r="C144" s="20" t="s">
        <v>34</v>
      </c>
      <c r="D144" s="1052" t="s">
        <v>35</v>
      </c>
      <c r="E144" s="1053"/>
      <c r="F144" s="1053"/>
      <c r="G144" s="1053"/>
      <c r="H144" s="1053"/>
      <c r="I144" s="1053"/>
      <c r="J144" s="1053"/>
      <c r="K144" s="1053"/>
      <c r="L144" s="1053"/>
      <c r="M144" s="1054"/>
      <c r="N144" s="145" t="s">
        <v>0</v>
      </c>
      <c r="O144" s="1107" t="s">
        <v>4</v>
      </c>
      <c r="P144" s="1108"/>
    </row>
    <row r="145" spans="2:16" s="146" customFormat="1" ht="50.25" hidden="1" customHeight="1" thickBot="1" x14ac:dyDescent="0.3">
      <c r="C145" s="85" t="s">
        <v>14</v>
      </c>
      <c r="D145" s="1070" t="str">
        <f>VLOOKUP(C145,'BM DETALHADO'!$B$13:$D$126,2,FALSE)</f>
        <v>CONTAINER (6,0X2,3X2,5M) COM ISOLAMENTO TÉRMICO - DEPÓSITO E FERRAMENTARIA COM LAVATÓRIO</v>
      </c>
      <c r="E145" s="1071"/>
      <c r="F145" s="1071"/>
      <c r="G145" s="1071"/>
      <c r="H145" s="1071"/>
      <c r="I145" s="1071"/>
      <c r="J145" s="1071"/>
      <c r="K145" s="1071"/>
      <c r="L145" s="1071"/>
      <c r="M145" s="1072"/>
      <c r="N145" s="19" t="str">
        <f>VLOOKUP(C145,'BM DETALHADO'!$B$13:$D$126,3,FALSE)</f>
        <v>MÊS</v>
      </c>
      <c r="O145" s="1109"/>
      <c r="P145" s="1110"/>
    </row>
    <row r="146" spans="2:16" s="146" customFormat="1" ht="18" hidden="1" customHeight="1" x14ac:dyDescent="0.25">
      <c r="C146" s="77"/>
      <c r="D146" s="78"/>
      <c r="E146" s="79"/>
      <c r="F146" s="79"/>
      <c r="G146" s="79"/>
      <c r="H146" s="79"/>
      <c r="I146" s="79"/>
      <c r="J146" s="79"/>
      <c r="K146" s="79"/>
      <c r="L146" s="79"/>
      <c r="M146" s="79"/>
      <c r="N146" s="79"/>
      <c r="O146" s="91"/>
      <c r="P146" s="92"/>
    </row>
    <row r="147" spans="2:16" s="146" customFormat="1" ht="18" hidden="1" customHeight="1" x14ac:dyDescent="0.25">
      <c r="C147" s="147"/>
      <c r="D147" s="81"/>
      <c r="E147" s="81"/>
      <c r="F147" s="81"/>
      <c r="G147" s="81"/>
      <c r="H147" s="81"/>
      <c r="I147" s="81"/>
      <c r="J147" s="81"/>
      <c r="K147" s="81"/>
      <c r="L147" s="81"/>
      <c r="M147" s="81"/>
      <c r="N147" s="81"/>
      <c r="O147" s="81"/>
      <c r="P147" s="187"/>
    </row>
    <row r="148" spans="2:16" s="146" customFormat="1" ht="18" hidden="1" customHeight="1" x14ac:dyDescent="0.25">
      <c r="C148" s="147"/>
      <c r="D148" s="81"/>
      <c r="E148" s="81"/>
      <c r="F148" s="81"/>
      <c r="G148" s="81"/>
      <c r="H148" s="81"/>
      <c r="I148" s="81"/>
      <c r="J148" s="81"/>
      <c r="K148" s="81"/>
      <c r="L148" s="81"/>
      <c r="M148" s="81"/>
      <c r="N148" s="81"/>
      <c r="O148" s="81"/>
      <c r="P148" s="187"/>
    </row>
    <row r="149" spans="2:16" s="146" customFormat="1" ht="18" hidden="1" customHeight="1" x14ac:dyDescent="0.25">
      <c r="C149" s="1183"/>
      <c r="D149" s="81"/>
      <c r="E149" s="81"/>
      <c r="F149" s="81"/>
      <c r="G149" s="81"/>
      <c r="H149" s="81"/>
      <c r="I149" s="167"/>
      <c r="J149" s="168"/>
      <c r="K149" s="167"/>
      <c r="L149" s="168"/>
      <c r="M149" s="169"/>
      <c r="N149" s="169"/>
      <c r="O149" s="169"/>
      <c r="P149" s="93"/>
    </row>
    <row r="150" spans="2:16" s="146" customFormat="1" ht="18" hidden="1" customHeight="1" x14ac:dyDescent="0.25">
      <c r="C150" s="1183"/>
      <c r="D150" s="182"/>
      <c r="E150" s="182"/>
      <c r="F150" s="182"/>
      <c r="G150" s="205"/>
      <c r="H150" s="182"/>
      <c r="I150" s="201"/>
      <c r="J150" s="168"/>
      <c r="K150" s="167"/>
      <c r="L150" s="168"/>
      <c r="M150" s="169"/>
      <c r="N150" s="169"/>
      <c r="O150" s="169"/>
      <c r="P150" s="93"/>
    </row>
    <row r="151" spans="2:16" s="146" customFormat="1" ht="18" hidden="1" customHeight="1" x14ac:dyDescent="0.25">
      <c r="C151" s="1183"/>
      <c r="D151" s="81"/>
      <c r="E151" s="81"/>
      <c r="F151" s="81"/>
      <c r="G151" s="81"/>
      <c r="H151" s="81"/>
      <c r="I151" s="167"/>
      <c r="J151" s="168"/>
      <c r="K151" s="167"/>
      <c r="L151" s="168"/>
      <c r="M151" s="169"/>
      <c r="N151" s="169"/>
      <c r="O151" s="169"/>
      <c r="P151" s="93"/>
    </row>
    <row r="152" spans="2:16" s="146" customFormat="1" ht="18" hidden="1" customHeight="1" x14ac:dyDescent="0.25">
      <c r="C152" s="1183"/>
      <c r="D152" s="81"/>
      <c r="E152" s="81"/>
      <c r="F152" s="81"/>
      <c r="G152" s="81"/>
      <c r="H152" s="81"/>
      <c r="I152" s="167"/>
      <c r="J152" s="168"/>
      <c r="K152" s="167"/>
      <c r="L152" s="168"/>
      <c r="M152" s="169"/>
      <c r="N152" s="169"/>
      <c r="O152" s="169"/>
      <c r="P152" s="93"/>
    </row>
    <row r="153" spans="2:16" s="146" customFormat="1" ht="18" hidden="1" customHeight="1" x14ac:dyDescent="0.25">
      <c r="C153" s="1183"/>
      <c r="D153" s="81"/>
      <c r="E153" s="81"/>
      <c r="F153" s="81"/>
      <c r="G153" s="81"/>
      <c r="H153" s="81"/>
      <c r="I153" s="167"/>
      <c r="J153" s="168"/>
      <c r="K153" s="167"/>
      <c r="L153" s="168"/>
      <c r="M153" s="169"/>
      <c r="N153" s="169"/>
      <c r="O153" s="169"/>
      <c r="P153" s="93"/>
    </row>
    <row r="154" spans="2:16" s="146" customFormat="1" ht="18" hidden="1" customHeight="1" x14ac:dyDescent="0.25">
      <c r="C154" s="80"/>
      <c r="D154" s="81"/>
      <c r="E154" s="193"/>
      <c r="F154" s="193"/>
      <c r="G154" s="193"/>
      <c r="H154" s="193"/>
      <c r="I154" s="193"/>
      <c r="J154" s="193"/>
      <c r="K154" s="193"/>
      <c r="L154" s="193"/>
      <c r="M154" s="193"/>
      <c r="N154" s="193"/>
      <c r="O154" s="94"/>
      <c r="P154" s="93"/>
    </row>
    <row r="155" spans="2:16" s="146" customFormat="1" ht="18" hidden="1" customHeight="1" x14ac:dyDescent="0.25">
      <c r="C155" s="80"/>
      <c r="D155" s="180"/>
      <c r="E155" s="180"/>
      <c r="F155" s="180"/>
      <c r="G155" s="180"/>
      <c r="H155" s="180"/>
      <c r="I155" s="180"/>
      <c r="J155" s="180"/>
      <c r="K155" s="180"/>
      <c r="L155" s="196"/>
      <c r="M155" s="181"/>
      <c r="N155" s="182"/>
      <c r="O155" s="95"/>
      <c r="P155" s="93"/>
    </row>
    <row r="156" spans="2:16" s="146" customFormat="1" ht="18" hidden="1" customHeight="1" x14ac:dyDescent="0.25">
      <c r="C156" s="80"/>
      <c r="D156" s="194"/>
      <c r="E156" s="194"/>
      <c r="F156" s="194"/>
      <c r="G156" s="194"/>
      <c r="H156" s="194"/>
      <c r="I156" s="194"/>
      <c r="J156" s="194"/>
      <c r="K156" s="194"/>
      <c r="L156" s="196"/>
      <c r="M156" s="195"/>
      <c r="N156" s="196"/>
      <c r="O156" s="95"/>
      <c r="P156" s="93"/>
    </row>
    <row r="157" spans="2:16" s="146" customFormat="1" ht="18" hidden="1" customHeight="1" x14ac:dyDescent="0.25">
      <c r="C157" s="80"/>
      <c r="D157" s="194"/>
      <c r="E157" s="194"/>
      <c r="F157" s="194"/>
      <c r="G157" s="194"/>
      <c r="H157" s="194"/>
      <c r="I157" s="194"/>
      <c r="J157" s="194"/>
      <c r="K157" s="194"/>
      <c r="L157" s="196"/>
      <c r="M157" s="195"/>
      <c r="N157" s="196"/>
      <c r="O157" s="95"/>
      <c r="P157" s="93"/>
    </row>
    <row r="158" spans="2:16" s="146" customFormat="1" ht="18" hidden="1" customHeight="1" x14ac:dyDescent="0.25">
      <c r="C158" s="80"/>
      <c r="D158" s="194"/>
      <c r="E158" s="194"/>
      <c r="F158" s="194"/>
      <c r="G158" s="194"/>
      <c r="H158" s="194"/>
      <c r="I158" s="194"/>
      <c r="J158" s="194"/>
      <c r="K158" s="194"/>
      <c r="L158" s="196"/>
      <c r="M158" s="195"/>
      <c r="N158" s="196"/>
      <c r="O158" s="95"/>
      <c r="P158" s="93"/>
    </row>
    <row r="159" spans="2:16" s="146" customFormat="1" ht="18" hidden="1" customHeight="1" thickBot="1" x14ac:dyDescent="0.3">
      <c r="C159" s="80"/>
      <c r="D159" s="81"/>
      <c r="E159" s="81"/>
      <c r="F159" s="81"/>
      <c r="G159" s="81"/>
      <c r="H159" s="81"/>
      <c r="I159" s="81"/>
      <c r="J159" s="81"/>
      <c r="K159" s="81"/>
      <c r="L159" s="81"/>
      <c r="M159" s="81"/>
      <c r="N159" s="81"/>
      <c r="O159" s="96"/>
      <c r="P159" s="97"/>
    </row>
    <row r="160" spans="2:16" s="146" customFormat="1" ht="18" hidden="1" customHeight="1" x14ac:dyDescent="0.25">
      <c r="B160" s="31" t="s">
        <v>34</v>
      </c>
      <c r="C160" s="29"/>
      <c r="E160" s="30"/>
      <c r="F160" s="30"/>
      <c r="G160" s="1041" t="s">
        <v>343</v>
      </c>
      <c r="H160" s="1042"/>
      <c r="I160" s="1042"/>
      <c r="J160" s="1043"/>
      <c r="K160" s="1085">
        <f>'[25]MEMÓRIA DE CÁLCULO'!$K$172</f>
        <v>0</v>
      </c>
      <c r="L160" s="1086"/>
      <c r="M160" s="18"/>
      <c r="N160" s="18"/>
      <c r="O160" s="98"/>
      <c r="P160" s="99"/>
    </row>
    <row r="161" spans="2:16" s="146" customFormat="1" ht="18" hidden="1" customHeight="1" x14ac:dyDescent="0.25">
      <c r="B161" s="31" t="str">
        <f>C145</f>
        <v>1.9</v>
      </c>
      <c r="C161" s="29"/>
      <c r="E161" s="30"/>
      <c r="F161" s="30"/>
      <c r="G161" s="1082" t="s">
        <v>344</v>
      </c>
      <c r="H161" s="1083"/>
      <c r="I161" s="1083"/>
      <c r="J161" s="1084"/>
      <c r="K161" s="1075">
        <f>K160+O145</f>
        <v>0</v>
      </c>
      <c r="L161" s="1076"/>
      <c r="M161" s="18"/>
      <c r="N161" s="18"/>
      <c r="O161" s="98"/>
      <c r="P161" s="99"/>
    </row>
    <row r="162" spans="2:16" s="146" customFormat="1" ht="18" hidden="1" customHeight="1" x14ac:dyDescent="0.25">
      <c r="C162" s="29"/>
      <c r="D162" s="30"/>
      <c r="E162" s="30"/>
      <c r="F162" s="30"/>
      <c r="G162" s="1082" t="s">
        <v>345</v>
      </c>
      <c r="H162" s="1083"/>
      <c r="I162" s="1083"/>
      <c r="J162" s="1084"/>
      <c r="K162" s="1075">
        <f>VLOOKUP(C145,'[26]BM DETALHADO'!$B$13:$E$126,4,FALSE)</f>
        <v>6</v>
      </c>
      <c r="L162" s="1076"/>
      <c r="M162" s="18"/>
      <c r="N162" s="18"/>
      <c r="O162" s="98"/>
      <c r="P162" s="99"/>
    </row>
    <row r="163" spans="2:16" s="146" customFormat="1" ht="18" hidden="1" customHeight="1" thickBot="1" x14ac:dyDescent="0.3">
      <c r="C163" s="29"/>
      <c r="D163" s="30"/>
      <c r="E163" s="30"/>
      <c r="F163" s="30"/>
      <c r="G163" s="1077" t="s">
        <v>346</v>
      </c>
      <c r="H163" s="1078"/>
      <c r="I163" s="1078"/>
      <c r="J163" s="1079"/>
      <c r="K163" s="1068">
        <f>K162-K161</f>
        <v>6</v>
      </c>
      <c r="L163" s="1069"/>
      <c r="M163" s="18"/>
      <c r="N163" s="18"/>
      <c r="O163" s="98"/>
      <c r="P163" s="99"/>
    </row>
    <row r="164" spans="2:16" s="146" customFormat="1" ht="18" hidden="1" customHeight="1" thickBot="1" x14ac:dyDescent="0.3">
      <c r="C164" s="21"/>
      <c r="D164" s="22"/>
      <c r="E164" s="22"/>
      <c r="F164" s="22"/>
      <c r="G164" s="27"/>
      <c r="H164" s="27"/>
      <c r="I164" s="27"/>
      <c r="J164" s="27"/>
      <c r="K164" s="28"/>
      <c r="L164" s="28"/>
      <c r="M164" s="22"/>
      <c r="N164" s="22"/>
      <c r="O164" s="100"/>
      <c r="P164" s="101"/>
    </row>
    <row r="165" spans="2:16" s="146" customFormat="1" ht="18" hidden="1" customHeight="1" x14ac:dyDescent="0.25">
      <c r="C165" s="20" t="s">
        <v>34</v>
      </c>
      <c r="D165" s="1052" t="s">
        <v>35</v>
      </c>
      <c r="E165" s="1053"/>
      <c r="F165" s="1053"/>
      <c r="G165" s="1053"/>
      <c r="H165" s="1053"/>
      <c r="I165" s="1053"/>
      <c r="J165" s="1053"/>
      <c r="K165" s="1053"/>
      <c r="L165" s="1053"/>
      <c r="M165" s="1054"/>
      <c r="N165" s="145" t="s">
        <v>0</v>
      </c>
      <c r="O165" s="1107" t="s">
        <v>4</v>
      </c>
      <c r="P165" s="1108"/>
    </row>
    <row r="166" spans="2:16" s="146" customFormat="1" ht="56.25" hidden="1" customHeight="1" thickBot="1" x14ac:dyDescent="0.3">
      <c r="C166" s="85" t="s">
        <v>15</v>
      </c>
      <c r="D166" s="1070" t="str">
        <f>VLOOKUP(C166,'BM DETALHADO'!$B$13:$D$126,2,FALSE)</f>
        <v>CONTAINER (6,0X2,3X2,5M) COM ISOLAMENTO TÉRMICO - REFEITÓRIO COMPLETO</v>
      </c>
      <c r="E166" s="1071"/>
      <c r="F166" s="1071"/>
      <c r="G166" s="1071"/>
      <c r="H166" s="1071"/>
      <c r="I166" s="1071"/>
      <c r="J166" s="1071"/>
      <c r="K166" s="1071"/>
      <c r="L166" s="1071"/>
      <c r="M166" s="1072"/>
      <c r="N166" s="19" t="str">
        <f>VLOOKUP(C166,'BM DETALHADO'!$B$13:$D$126,3,FALSE)</f>
        <v>MÊS</v>
      </c>
      <c r="O166" s="1109"/>
      <c r="P166" s="1110"/>
    </row>
    <row r="167" spans="2:16" s="146" customFormat="1" ht="18" hidden="1" customHeight="1" x14ac:dyDescent="0.25">
      <c r="C167" s="77"/>
      <c r="D167" s="78"/>
      <c r="E167" s="79"/>
      <c r="F167" s="79"/>
      <c r="G167" s="79"/>
      <c r="H167" s="79"/>
      <c r="I167" s="79"/>
      <c r="J167" s="79"/>
      <c r="K167" s="79"/>
      <c r="L167" s="79"/>
      <c r="M167" s="79"/>
      <c r="N167" s="79"/>
      <c r="O167" s="91"/>
      <c r="P167" s="92"/>
    </row>
    <row r="168" spans="2:16" s="146" customFormat="1" ht="18" hidden="1" customHeight="1" x14ac:dyDescent="0.25">
      <c r="C168" s="147"/>
      <c r="D168" s="81"/>
      <c r="E168" s="81"/>
      <c r="F168" s="81"/>
      <c r="G168" s="81"/>
      <c r="H168" s="81"/>
      <c r="I168" s="81"/>
      <c r="J168" s="81"/>
      <c r="K168" s="81"/>
      <c r="L168" s="81"/>
      <c r="M168" s="81"/>
      <c r="N168" s="81"/>
      <c r="O168" s="81"/>
      <c r="P168" s="187"/>
    </row>
    <row r="169" spans="2:16" s="146" customFormat="1" ht="18" hidden="1" customHeight="1" x14ac:dyDescent="0.25">
      <c r="C169" s="147"/>
      <c r="D169" s="81"/>
      <c r="E169" s="81"/>
      <c r="F169" s="81"/>
      <c r="G169" s="81"/>
      <c r="H169" s="81"/>
      <c r="I169" s="81"/>
      <c r="J169" s="81"/>
      <c r="K169" s="81"/>
      <c r="L169" s="81"/>
      <c r="M169" s="81"/>
      <c r="N169" s="81"/>
      <c r="O169" s="81"/>
      <c r="P169" s="187"/>
    </row>
    <row r="170" spans="2:16" s="146" customFormat="1" ht="18" hidden="1" customHeight="1" x14ac:dyDescent="0.25">
      <c r="C170" s="1183"/>
      <c r="D170" s="81"/>
      <c r="E170" s="81"/>
      <c r="F170" s="81"/>
      <c r="G170" s="81"/>
      <c r="H170" s="81"/>
      <c r="I170" s="167"/>
      <c r="J170" s="168"/>
      <c r="K170" s="167"/>
      <c r="L170" s="168"/>
      <c r="M170" s="169"/>
      <c r="N170" s="169"/>
      <c r="O170" s="169"/>
      <c r="P170" s="93"/>
    </row>
    <row r="171" spans="2:16" s="146" customFormat="1" ht="18" hidden="1" customHeight="1" x14ac:dyDescent="0.25">
      <c r="C171" s="1183"/>
      <c r="D171" s="182"/>
      <c r="E171" s="182"/>
      <c r="F171" s="182"/>
      <c r="G171" s="205"/>
      <c r="H171" s="182"/>
      <c r="I171" s="201"/>
      <c r="J171" s="168"/>
      <c r="K171" s="167"/>
      <c r="L171" s="168"/>
      <c r="M171" s="169"/>
      <c r="N171" s="169"/>
      <c r="O171" s="169"/>
      <c r="P171" s="93"/>
    </row>
    <row r="172" spans="2:16" s="146" customFormat="1" ht="18" hidden="1" customHeight="1" x14ac:dyDescent="0.25">
      <c r="C172" s="1183"/>
      <c r="D172" s="81"/>
      <c r="E172" s="81"/>
      <c r="F172" s="81"/>
      <c r="G172" s="81"/>
      <c r="H172" s="81"/>
      <c r="I172" s="167"/>
      <c r="J172" s="168"/>
      <c r="K172" s="167"/>
      <c r="L172" s="168"/>
      <c r="M172" s="169"/>
      <c r="N172" s="169"/>
      <c r="O172" s="169"/>
      <c r="P172" s="93"/>
    </row>
    <row r="173" spans="2:16" s="146" customFormat="1" ht="18" hidden="1" customHeight="1" x14ac:dyDescent="0.25">
      <c r="C173" s="1183"/>
      <c r="D173" s="81"/>
      <c r="E173" s="81"/>
      <c r="F173" s="81"/>
      <c r="G173" s="81"/>
      <c r="H173" s="81"/>
      <c r="I173" s="167"/>
      <c r="J173" s="168"/>
      <c r="K173" s="167"/>
      <c r="L173" s="168"/>
      <c r="M173" s="169"/>
      <c r="N173" s="169"/>
      <c r="O173" s="169"/>
      <c r="P173" s="93"/>
    </row>
    <row r="174" spans="2:16" s="146" customFormat="1" ht="18" hidden="1" customHeight="1" x14ac:dyDescent="0.25">
      <c r="C174" s="1183"/>
      <c r="D174" s="81"/>
      <c r="E174" s="81"/>
      <c r="F174" s="81"/>
      <c r="G174" s="81"/>
      <c r="H174" s="81"/>
      <c r="I174" s="167"/>
      <c r="J174" s="168"/>
      <c r="K174" s="167"/>
      <c r="L174" s="168"/>
      <c r="M174" s="169"/>
      <c r="N174" s="169"/>
      <c r="O174" s="169"/>
      <c r="P174" s="93"/>
    </row>
    <row r="175" spans="2:16" s="146" customFormat="1" ht="18" hidden="1" customHeight="1" x14ac:dyDescent="0.25">
      <c r="C175" s="80"/>
      <c r="D175" s="81"/>
      <c r="E175" s="193"/>
      <c r="F175" s="193"/>
      <c r="G175" s="193"/>
      <c r="H175" s="193"/>
      <c r="I175" s="193"/>
      <c r="J175" s="193"/>
      <c r="K175" s="193"/>
      <c r="L175" s="193"/>
      <c r="M175" s="193"/>
      <c r="N175" s="193"/>
      <c r="O175" s="94"/>
      <c r="P175" s="93"/>
    </row>
    <row r="176" spans="2:16" s="146" customFormat="1" ht="18" hidden="1" customHeight="1" x14ac:dyDescent="0.25">
      <c r="C176" s="80"/>
      <c r="D176" s="180"/>
      <c r="E176" s="180"/>
      <c r="F176" s="180"/>
      <c r="G176" s="180"/>
      <c r="H176" s="180"/>
      <c r="I176" s="180"/>
      <c r="J176" s="180"/>
      <c r="K176" s="180"/>
      <c r="L176" s="196"/>
      <c r="M176" s="181"/>
      <c r="N176" s="182"/>
      <c r="O176" s="95"/>
      <c r="P176" s="93"/>
    </row>
    <row r="177" spans="2:16" s="146" customFormat="1" ht="18" hidden="1" customHeight="1" x14ac:dyDescent="0.25">
      <c r="C177" s="80"/>
      <c r="D177" s="194"/>
      <c r="E177" s="194"/>
      <c r="F177" s="194"/>
      <c r="G177" s="194"/>
      <c r="H177" s="194"/>
      <c r="I177" s="194"/>
      <c r="J177" s="194"/>
      <c r="K177" s="194"/>
      <c r="L177" s="196"/>
      <c r="M177" s="195"/>
      <c r="N177" s="196"/>
      <c r="O177" s="95"/>
      <c r="P177" s="93"/>
    </row>
    <row r="178" spans="2:16" s="146" customFormat="1" ht="18" hidden="1" customHeight="1" x14ac:dyDescent="0.25">
      <c r="C178" s="80"/>
      <c r="D178" s="194"/>
      <c r="E178" s="194"/>
      <c r="F178" s="194"/>
      <c r="G178" s="194"/>
      <c r="H178" s="194"/>
      <c r="I178" s="194"/>
      <c r="J178" s="194"/>
      <c r="K178" s="194"/>
      <c r="L178" s="196"/>
      <c r="M178" s="195"/>
      <c r="N178" s="196"/>
      <c r="O178" s="95"/>
      <c r="P178" s="93"/>
    </row>
    <row r="179" spans="2:16" s="146" customFormat="1" ht="18" hidden="1" customHeight="1" x14ac:dyDescent="0.25">
      <c r="C179" s="80"/>
      <c r="D179" s="194"/>
      <c r="E179" s="194"/>
      <c r="F179" s="194"/>
      <c r="G179" s="194"/>
      <c r="H179" s="194"/>
      <c r="I179" s="194"/>
      <c r="J179" s="194"/>
      <c r="K179" s="194"/>
      <c r="L179" s="196"/>
      <c r="M179" s="195"/>
      <c r="N179" s="196"/>
      <c r="O179" s="95"/>
      <c r="P179" s="93"/>
    </row>
    <row r="180" spans="2:16" s="146" customFormat="1" ht="18" hidden="1" customHeight="1" thickBot="1" x14ac:dyDescent="0.3">
      <c r="C180" s="80"/>
      <c r="D180" s="81"/>
      <c r="E180" s="81"/>
      <c r="F180" s="81"/>
      <c r="G180" s="81"/>
      <c r="H180" s="81"/>
      <c r="I180" s="81"/>
      <c r="J180" s="81"/>
      <c r="K180" s="81"/>
      <c r="L180" s="81"/>
      <c r="M180" s="81"/>
      <c r="N180" s="81"/>
      <c r="O180" s="96"/>
      <c r="P180" s="97"/>
    </row>
    <row r="181" spans="2:16" s="146" customFormat="1" ht="18" hidden="1" customHeight="1" x14ac:dyDescent="0.25">
      <c r="B181" s="31" t="s">
        <v>34</v>
      </c>
      <c r="C181" s="29"/>
      <c r="E181" s="30"/>
      <c r="F181" s="30"/>
      <c r="G181" s="1041" t="s">
        <v>343</v>
      </c>
      <c r="H181" s="1042"/>
      <c r="I181" s="1042"/>
      <c r="J181" s="1043"/>
      <c r="K181" s="1085">
        <f>'[25]MEMÓRIA DE CÁLCULO'!$K$193</f>
        <v>0</v>
      </c>
      <c r="L181" s="1086"/>
      <c r="M181" s="18"/>
      <c r="N181" s="18"/>
      <c r="O181" s="98"/>
      <c r="P181" s="99"/>
    </row>
    <row r="182" spans="2:16" s="146" customFormat="1" ht="18" hidden="1" customHeight="1" x14ac:dyDescent="0.25">
      <c r="B182" s="31" t="str">
        <f>C166</f>
        <v>1.10</v>
      </c>
      <c r="C182" s="29"/>
      <c r="E182" s="30"/>
      <c r="F182" s="30"/>
      <c r="G182" s="1082" t="s">
        <v>344</v>
      </c>
      <c r="H182" s="1083"/>
      <c r="I182" s="1083"/>
      <c r="J182" s="1084"/>
      <c r="K182" s="1075">
        <f>K181+O166</f>
        <v>0</v>
      </c>
      <c r="L182" s="1076"/>
      <c r="M182" s="18"/>
      <c r="N182" s="18"/>
      <c r="O182" s="98"/>
      <c r="P182" s="99"/>
    </row>
    <row r="183" spans="2:16" s="146" customFormat="1" ht="18" hidden="1" customHeight="1" x14ac:dyDescent="0.25">
      <c r="C183" s="29"/>
      <c r="D183" s="30"/>
      <c r="E183" s="30"/>
      <c r="F183" s="30"/>
      <c r="G183" s="1082" t="s">
        <v>345</v>
      </c>
      <c r="H183" s="1083"/>
      <c r="I183" s="1083"/>
      <c r="J183" s="1084"/>
      <c r="K183" s="1075">
        <f>VLOOKUP(C166,'[26]BM DETALHADO'!$B$13:$E$126,4,FALSE)</f>
        <v>6</v>
      </c>
      <c r="L183" s="1076"/>
      <c r="M183" s="18"/>
      <c r="N183" s="18"/>
      <c r="O183" s="98"/>
      <c r="P183" s="99"/>
    </row>
    <row r="184" spans="2:16" s="146" customFormat="1" ht="18" hidden="1" customHeight="1" thickBot="1" x14ac:dyDescent="0.3">
      <c r="C184" s="29"/>
      <c r="D184" s="30"/>
      <c r="E184" s="30"/>
      <c r="F184" s="30"/>
      <c r="G184" s="1077" t="s">
        <v>346</v>
      </c>
      <c r="H184" s="1078"/>
      <c r="I184" s="1078"/>
      <c r="J184" s="1079"/>
      <c r="K184" s="1068">
        <f>K183-K182</f>
        <v>6</v>
      </c>
      <c r="L184" s="1069"/>
      <c r="M184" s="18"/>
      <c r="N184" s="18"/>
      <c r="O184" s="98"/>
      <c r="P184" s="99"/>
    </row>
    <row r="185" spans="2:16" s="146" customFormat="1" ht="18" hidden="1" customHeight="1" thickBot="1" x14ac:dyDescent="0.3">
      <c r="C185" s="21"/>
      <c r="D185" s="22"/>
      <c r="E185" s="22"/>
      <c r="F185" s="22"/>
      <c r="G185" s="27"/>
      <c r="H185" s="27"/>
      <c r="I185" s="27"/>
      <c r="J185" s="27"/>
      <c r="K185" s="28"/>
      <c r="L185" s="28"/>
      <c r="M185" s="22"/>
      <c r="N185" s="22"/>
      <c r="O185" s="100"/>
      <c r="P185" s="101"/>
    </row>
    <row r="186" spans="2:16" s="146" customFormat="1" ht="18" hidden="1" customHeight="1" x14ac:dyDescent="0.25">
      <c r="C186" s="20" t="s">
        <v>34</v>
      </c>
      <c r="D186" s="1052" t="s">
        <v>35</v>
      </c>
      <c r="E186" s="1053"/>
      <c r="F186" s="1053"/>
      <c r="G186" s="1053"/>
      <c r="H186" s="1053"/>
      <c r="I186" s="1053"/>
      <c r="J186" s="1053"/>
      <c r="K186" s="1053"/>
      <c r="L186" s="1053"/>
      <c r="M186" s="1054"/>
      <c r="N186" s="145" t="s">
        <v>0</v>
      </c>
      <c r="O186" s="1107" t="s">
        <v>4</v>
      </c>
      <c r="P186" s="1108"/>
    </row>
    <row r="187" spans="2:16" s="146" customFormat="1" ht="43.5" hidden="1" customHeight="1" thickBot="1" x14ac:dyDescent="0.3">
      <c r="C187" s="85" t="s">
        <v>48</v>
      </c>
      <c r="D187" s="1070" t="str">
        <f>VLOOKUP(C187,'BM DETALHADO'!$B$13:$D$126,2,FALSE)</f>
        <v>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v>
      </c>
      <c r="E187" s="1071"/>
      <c r="F187" s="1071"/>
      <c r="G187" s="1071"/>
      <c r="H187" s="1071"/>
      <c r="I187" s="1071"/>
      <c r="J187" s="1071"/>
      <c r="K187" s="1071"/>
      <c r="L187" s="1071"/>
      <c r="M187" s="1072"/>
      <c r="N187" s="19" t="str">
        <f>VLOOKUP(C187,'BM DETALHADO'!$B$13:$D$126,3,FALSE)</f>
        <v>MÊS</v>
      </c>
      <c r="O187" s="1109"/>
      <c r="P187" s="1110"/>
    </row>
    <row r="188" spans="2:16" s="146" customFormat="1" ht="18" hidden="1" customHeight="1" x14ac:dyDescent="0.25">
      <c r="C188" s="77"/>
      <c r="D188" s="78"/>
      <c r="E188" s="79"/>
      <c r="F188" s="79"/>
      <c r="G188" s="79"/>
      <c r="H188" s="79"/>
      <c r="I188" s="79"/>
      <c r="J188" s="79"/>
      <c r="K188" s="79"/>
      <c r="L188" s="79"/>
      <c r="M188" s="79"/>
      <c r="N188" s="79"/>
      <c r="O188" s="91"/>
      <c r="P188" s="92"/>
    </row>
    <row r="189" spans="2:16" s="146" customFormat="1" ht="18" hidden="1" customHeight="1" x14ac:dyDescent="0.25">
      <c r="C189" s="207"/>
      <c r="D189" s="81"/>
      <c r="E189" s="81"/>
      <c r="F189" s="81"/>
      <c r="G189" s="81"/>
      <c r="H189" s="81"/>
      <c r="I189" s="81"/>
      <c r="J189" s="81"/>
      <c r="K189" s="81"/>
      <c r="L189" s="81"/>
      <c r="M189" s="81"/>
      <c r="N189" s="81"/>
      <c r="O189" s="81"/>
      <c r="P189" s="187"/>
    </row>
    <row r="190" spans="2:16" s="146" customFormat="1" ht="18" hidden="1" customHeight="1" x14ac:dyDescent="0.25">
      <c r="C190" s="207"/>
      <c r="D190" s="81"/>
      <c r="E190" s="81"/>
      <c r="F190" s="81"/>
      <c r="G190" s="81"/>
      <c r="H190" s="81"/>
      <c r="I190" s="81"/>
      <c r="J190" s="81"/>
      <c r="K190" s="81"/>
      <c r="L190" s="81"/>
      <c r="M190" s="81"/>
      <c r="N190" s="81"/>
      <c r="O190" s="81"/>
      <c r="P190" s="187"/>
    </row>
    <row r="191" spans="2:16" s="146" customFormat="1" ht="18" hidden="1" customHeight="1" x14ac:dyDescent="0.25">
      <c r="C191" s="202"/>
      <c r="D191" s="81"/>
      <c r="E191" s="81"/>
      <c r="F191" s="81"/>
      <c r="G191" s="81"/>
      <c r="H191" s="81"/>
      <c r="I191" s="167"/>
      <c r="J191" s="168"/>
      <c r="K191" s="167"/>
      <c r="L191" s="168"/>
      <c r="M191" s="169"/>
      <c r="N191" s="169"/>
      <c r="O191" s="169"/>
      <c r="P191" s="93"/>
    </row>
    <row r="192" spans="2:16" s="146" customFormat="1" ht="18" hidden="1" customHeight="1" x14ac:dyDescent="0.25">
      <c r="C192" s="202"/>
      <c r="D192" s="182"/>
      <c r="E192" s="182"/>
      <c r="F192" s="182"/>
      <c r="G192" s="205"/>
      <c r="H192" s="182"/>
      <c r="I192" s="201"/>
      <c r="J192" s="168"/>
      <c r="K192" s="167"/>
      <c r="L192" s="168"/>
      <c r="M192" s="169"/>
      <c r="N192" s="169"/>
      <c r="O192" s="169"/>
      <c r="P192" s="93"/>
    </row>
    <row r="193" spans="2:16" s="146" customFormat="1" ht="18" hidden="1" customHeight="1" x14ac:dyDescent="0.25">
      <c r="C193" s="202"/>
      <c r="D193" s="81"/>
      <c r="E193" s="81"/>
      <c r="F193" s="81"/>
      <c r="G193" s="81"/>
      <c r="H193" s="81"/>
      <c r="I193" s="167"/>
      <c r="J193" s="168"/>
      <c r="K193" s="167"/>
      <c r="L193" s="168"/>
      <c r="M193" s="169"/>
      <c r="N193" s="169"/>
      <c r="O193" s="169"/>
      <c r="P193" s="93"/>
    </row>
    <row r="194" spans="2:16" s="146" customFormat="1" ht="18" hidden="1" customHeight="1" x14ac:dyDescent="0.25">
      <c r="C194" s="202"/>
      <c r="D194" s="81"/>
      <c r="E194" s="81"/>
      <c r="F194" s="81"/>
      <c r="G194" s="81"/>
      <c r="H194" s="81"/>
      <c r="I194" s="167"/>
      <c r="J194" s="168"/>
      <c r="K194" s="167"/>
      <c r="L194" s="168"/>
      <c r="M194" s="169"/>
      <c r="N194" s="169"/>
      <c r="O194" s="169"/>
      <c r="P194" s="93"/>
    </row>
    <row r="195" spans="2:16" s="146" customFormat="1" ht="18" hidden="1" customHeight="1" x14ac:dyDescent="0.25">
      <c r="C195" s="202"/>
      <c r="D195" s="81"/>
      <c r="E195" s="81"/>
      <c r="F195" s="81"/>
      <c r="G195" s="81"/>
      <c r="H195" s="81"/>
      <c r="I195" s="167"/>
      <c r="J195" s="168"/>
      <c r="K195" s="167"/>
      <c r="L195" s="168"/>
      <c r="M195" s="169"/>
      <c r="N195" s="169"/>
      <c r="O195" s="169"/>
      <c r="P195" s="93"/>
    </row>
    <row r="196" spans="2:16" s="146" customFormat="1" ht="18" hidden="1" customHeight="1" x14ac:dyDescent="0.25">
      <c r="C196" s="80"/>
      <c r="D196" s="81"/>
      <c r="E196" s="193"/>
      <c r="F196" s="193"/>
      <c r="G196" s="193"/>
      <c r="H196" s="193"/>
      <c r="I196" s="193"/>
      <c r="J196" s="193"/>
      <c r="K196" s="193"/>
      <c r="L196" s="193"/>
      <c r="M196" s="193"/>
      <c r="N196" s="193"/>
      <c r="O196" s="94"/>
      <c r="P196" s="93"/>
    </row>
    <row r="197" spans="2:16" s="146" customFormat="1" ht="18" hidden="1" customHeight="1" x14ac:dyDescent="0.25">
      <c r="C197" s="80"/>
      <c r="D197" s="180"/>
      <c r="E197" s="180"/>
      <c r="F197" s="180"/>
      <c r="G197" s="180"/>
      <c r="H197" s="180"/>
      <c r="I197" s="180"/>
      <c r="J197" s="180"/>
      <c r="K197" s="180"/>
      <c r="L197" s="196"/>
      <c r="M197" s="181"/>
      <c r="N197" s="182"/>
      <c r="O197" s="95"/>
      <c r="P197" s="93"/>
    </row>
    <row r="198" spans="2:16" s="146" customFormat="1" ht="18" hidden="1" customHeight="1" x14ac:dyDescent="0.25">
      <c r="C198" s="80"/>
      <c r="D198" s="194"/>
      <c r="E198" s="194"/>
      <c r="F198" s="194"/>
      <c r="G198" s="194"/>
      <c r="H198" s="194"/>
      <c r="I198" s="194"/>
      <c r="J198" s="194"/>
      <c r="K198" s="194"/>
      <c r="L198" s="196"/>
      <c r="M198" s="195"/>
      <c r="N198" s="196"/>
      <c r="O198" s="95"/>
      <c r="P198" s="93"/>
    </row>
    <row r="199" spans="2:16" s="146" customFormat="1" ht="18" hidden="1" customHeight="1" x14ac:dyDescent="0.25">
      <c r="C199" s="80"/>
      <c r="D199" s="194"/>
      <c r="E199" s="194"/>
      <c r="F199" s="194"/>
      <c r="G199" s="194"/>
      <c r="H199" s="194"/>
      <c r="I199" s="194"/>
      <c r="J199" s="194"/>
      <c r="K199" s="194"/>
      <c r="L199" s="196"/>
      <c r="M199" s="195"/>
      <c r="N199" s="196"/>
      <c r="O199" s="95"/>
      <c r="P199" s="93"/>
    </row>
    <row r="200" spans="2:16" s="146" customFormat="1" ht="18" hidden="1" customHeight="1" x14ac:dyDescent="0.25">
      <c r="C200" s="80"/>
      <c r="D200" s="194"/>
      <c r="E200" s="194"/>
      <c r="F200" s="194"/>
      <c r="G200" s="194"/>
      <c r="H200" s="194"/>
      <c r="I200" s="194"/>
      <c r="J200" s="194"/>
      <c r="K200" s="194"/>
      <c r="L200" s="196"/>
      <c r="M200" s="195"/>
      <c r="N200" s="196"/>
      <c r="O200" s="95"/>
      <c r="P200" s="93"/>
    </row>
    <row r="201" spans="2:16" s="146" customFormat="1" ht="18" hidden="1" customHeight="1" thickBot="1" x14ac:dyDescent="0.3">
      <c r="C201" s="80"/>
      <c r="D201" s="81"/>
      <c r="E201" s="81"/>
      <c r="F201" s="81"/>
      <c r="G201" s="81"/>
      <c r="H201" s="81"/>
      <c r="I201" s="81"/>
      <c r="J201" s="81"/>
      <c r="K201" s="81"/>
      <c r="L201" s="81"/>
      <c r="M201" s="81"/>
      <c r="N201" s="81"/>
      <c r="O201" s="96"/>
      <c r="P201" s="97"/>
    </row>
    <row r="202" spans="2:16" s="146" customFormat="1" ht="18" hidden="1" customHeight="1" x14ac:dyDescent="0.25">
      <c r="B202" s="31" t="s">
        <v>34</v>
      </c>
      <c r="C202" s="29"/>
      <c r="E202" s="30"/>
      <c r="F202" s="30"/>
      <c r="G202" s="1041" t="s">
        <v>343</v>
      </c>
      <c r="H202" s="1042"/>
      <c r="I202" s="1042"/>
      <c r="J202" s="1043"/>
      <c r="K202" s="1085">
        <f>'[25]MEMÓRIA DE CÁLCULO'!$K$214</f>
        <v>0</v>
      </c>
      <c r="L202" s="1086"/>
      <c r="M202" s="18"/>
      <c r="N202" s="18"/>
      <c r="O202" s="98"/>
      <c r="P202" s="99"/>
    </row>
    <row r="203" spans="2:16" s="146" customFormat="1" ht="18" hidden="1" customHeight="1" x14ac:dyDescent="0.25">
      <c r="B203" s="31" t="str">
        <f>C187</f>
        <v>1.11</v>
      </c>
      <c r="C203" s="29"/>
      <c r="E203" s="30"/>
      <c r="F203" s="30"/>
      <c r="G203" s="1082" t="s">
        <v>344</v>
      </c>
      <c r="H203" s="1083"/>
      <c r="I203" s="1083"/>
      <c r="J203" s="1084"/>
      <c r="K203" s="1075">
        <f>K202+O187</f>
        <v>0</v>
      </c>
      <c r="L203" s="1076"/>
      <c r="M203" s="18"/>
      <c r="N203" s="18"/>
      <c r="O203" s="98"/>
      <c r="P203" s="99"/>
    </row>
    <row r="204" spans="2:16" s="146" customFormat="1" ht="18" hidden="1" customHeight="1" x14ac:dyDescent="0.25">
      <c r="C204" s="29"/>
      <c r="D204" s="30"/>
      <c r="E204" s="30"/>
      <c r="F204" s="30"/>
      <c r="G204" s="1082" t="s">
        <v>345</v>
      </c>
      <c r="H204" s="1083"/>
      <c r="I204" s="1083"/>
      <c r="J204" s="1084"/>
      <c r="K204" s="1075">
        <f>VLOOKUP(C187,'[26]BM DETALHADO'!$B$13:$E$126,4,FALSE)</f>
        <v>6</v>
      </c>
      <c r="L204" s="1076"/>
      <c r="M204" s="18"/>
      <c r="N204" s="18"/>
      <c r="O204" s="98"/>
      <c r="P204" s="99"/>
    </row>
    <row r="205" spans="2:16" s="146" customFormat="1" ht="18" hidden="1" customHeight="1" thickBot="1" x14ac:dyDescent="0.3">
      <c r="C205" s="29"/>
      <c r="D205" s="30"/>
      <c r="E205" s="30"/>
      <c r="F205" s="30"/>
      <c r="G205" s="1077" t="s">
        <v>346</v>
      </c>
      <c r="H205" s="1078"/>
      <c r="I205" s="1078"/>
      <c r="J205" s="1079"/>
      <c r="K205" s="1068">
        <f>K204-K203</f>
        <v>6</v>
      </c>
      <c r="L205" s="1069"/>
      <c r="M205" s="18"/>
      <c r="N205" s="18"/>
      <c r="O205" s="98"/>
      <c r="P205" s="99"/>
    </row>
    <row r="206" spans="2:16" s="146" customFormat="1" ht="18" hidden="1" customHeight="1" thickBot="1" x14ac:dyDescent="0.3">
      <c r="C206" s="21"/>
      <c r="D206" s="22"/>
      <c r="E206" s="22"/>
      <c r="F206" s="22"/>
      <c r="G206" s="27"/>
      <c r="H206" s="27"/>
      <c r="I206" s="27"/>
      <c r="J206" s="27"/>
      <c r="K206" s="28"/>
      <c r="L206" s="28"/>
      <c r="M206" s="22"/>
      <c r="N206" s="22"/>
      <c r="O206" s="100"/>
      <c r="P206" s="101"/>
    </row>
    <row r="207" spans="2:16" s="146" customFormat="1" ht="18" hidden="1" customHeight="1" x14ac:dyDescent="0.25">
      <c r="C207" s="20" t="s">
        <v>34</v>
      </c>
      <c r="D207" s="1052" t="s">
        <v>35</v>
      </c>
      <c r="E207" s="1053"/>
      <c r="F207" s="1053"/>
      <c r="G207" s="1053"/>
      <c r="H207" s="1053"/>
      <c r="I207" s="1053"/>
      <c r="J207" s="1053"/>
      <c r="K207" s="1053"/>
      <c r="L207" s="1053"/>
      <c r="M207" s="1054"/>
      <c r="N207" s="145" t="s">
        <v>0</v>
      </c>
      <c r="O207" s="1107" t="s">
        <v>4</v>
      </c>
      <c r="P207" s="1108"/>
    </row>
    <row r="208" spans="2:16" s="146" customFormat="1" ht="47.25" hidden="1" customHeight="1" thickBot="1" x14ac:dyDescent="0.3">
      <c r="C208" s="85" t="s">
        <v>49</v>
      </c>
      <c r="D208" s="1070" t="str">
        <f>VLOOKUP(C208,'BM DETALHADO'!$B$13:$D$126,2,FALSE)</f>
        <v>MOBILIZAÇÃO E DESMOBILIZAÇÃO DE CONTAINER, INCLUSIVE INSTALAÇÃO E TRANSPORTE COM CAMINHÃO GUINDAUTO (MUNCK)</v>
      </c>
      <c r="E208" s="1071"/>
      <c r="F208" s="1071"/>
      <c r="G208" s="1071"/>
      <c r="H208" s="1071"/>
      <c r="I208" s="1071"/>
      <c r="J208" s="1071"/>
      <c r="K208" s="1071"/>
      <c r="L208" s="1071"/>
      <c r="M208" s="1072"/>
      <c r="N208" s="19" t="str">
        <f>VLOOKUP(C208,'BM DETALHADO'!$B$13:$D$126,3,FALSE)</f>
        <v>UN</v>
      </c>
      <c r="O208" s="1109"/>
      <c r="P208" s="1110"/>
    </row>
    <row r="209" spans="2:16" s="146" customFormat="1" ht="18" hidden="1" customHeight="1" x14ac:dyDescent="0.25">
      <c r="C209" s="77"/>
      <c r="D209" s="78"/>
      <c r="E209" s="79"/>
      <c r="F209" s="79"/>
      <c r="G209" s="79"/>
      <c r="H209" s="79"/>
      <c r="I209" s="79"/>
      <c r="J209" s="79"/>
      <c r="K209" s="79"/>
      <c r="L209" s="79"/>
      <c r="M209" s="79"/>
      <c r="N209" s="79"/>
      <c r="O209" s="91"/>
      <c r="P209" s="92"/>
    </row>
    <row r="210" spans="2:16" s="146" customFormat="1" ht="18" hidden="1" customHeight="1" x14ac:dyDescent="0.25">
      <c r="C210" s="147"/>
      <c r="D210" s="81"/>
      <c r="E210" s="81"/>
      <c r="F210" s="81"/>
      <c r="G210" s="81"/>
      <c r="H210" s="81"/>
      <c r="I210" s="81"/>
      <c r="J210" s="81"/>
      <c r="K210" s="81"/>
      <c r="L210" s="81"/>
      <c r="M210" s="81"/>
      <c r="N210" s="81"/>
      <c r="O210" s="81"/>
      <c r="P210" s="187"/>
    </row>
    <row r="211" spans="2:16" s="146" customFormat="1" ht="18" hidden="1" customHeight="1" x14ac:dyDescent="0.25">
      <c r="C211" s="147"/>
      <c r="D211" s="81"/>
      <c r="E211" s="81"/>
      <c r="F211" s="81"/>
      <c r="G211" s="81"/>
      <c r="H211" s="81"/>
      <c r="I211" s="81"/>
      <c r="J211" s="81"/>
      <c r="K211" s="81"/>
      <c r="L211" s="81"/>
      <c r="M211" s="81"/>
      <c r="N211" s="81"/>
      <c r="O211" s="81"/>
      <c r="P211" s="187"/>
    </row>
    <row r="212" spans="2:16" s="146" customFormat="1" ht="18" hidden="1" customHeight="1" x14ac:dyDescent="0.25">
      <c r="C212" s="1183"/>
      <c r="D212" s="81"/>
      <c r="E212" s="81"/>
      <c r="F212" s="81"/>
      <c r="G212" s="81"/>
      <c r="H212" s="81"/>
      <c r="I212" s="167"/>
      <c r="J212" s="168"/>
      <c r="K212" s="167"/>
      <c r="L212" s="168"/>
      <c r="M212" s="169"/>
      <c r="N212" s="169"/>
      <c r="O212" s="169"/>
      <c r="P212" s="93"/>
    </row>
    <row r="213" spans="2:16" s="146" customFormat="1" ht="18" hidden="1" customHeight="1" x14ac:dyDescent="0.25">
      <c r="C213" s="1183"/>
      <c r="D213" s="182"/>
      <c r="E213" s="182"/>
      <c r="F213" s="182"/>
      <c r="G213" s="205"/>
      <c r="H213" s="81"/>
      <c r="I213" s="81"/>
      <c r="J213" s="81"/>
      <c r="K213" s="81"/>
      <c r="L213" s="210"/>
      <c r="M213" s="185"/>
      <c r="N213" s="185"/>
      <c r="O213" s="169"/>
      <c r="P213" s="93"/>
    </row>
    <row r="214" spans="2:16" s="146" customFormat="1" ht="18" hidden="1" customHeight="1" x14ac:dyDescent="0.25">
      <c r="C214" s="1183"/>
      <c r="D214" s="81"/>
      <c r="E214" s="81"/>
      <c r="F214" s="81"/>
      <c r="G214" s="81"/>
      <c r="H214" s="81"/>
      <c r="I214" s="81"/>
      <c r="J214" s="81"/>
      <c r="K214" s="81"/>
      <c r="L214" s="168"/>
      <c r="M214" s="169"/>
      <c r="N214" s="169"/>
      <c r="O214" s="169"/>
      <c r="P214" s="93"/>
    </row>
    <row r="215" spans="2:16" s="146" customFormat="1" ht="18" hidden="1" customHeight="1" x14ac:dyDescent="0.25">
      <c r="C215" s="1183"/>
      <c r="D215" s="81"/>
      <c r="E215" s="81"/>
      <c r="F215" s="81"/>
      <c r="G215" s="81"/>
      <c r="H215" s="81"/>
      <c r="I215" s="81"/>
      <c r="J215" s="81"/>
      <c r="K215" s="81"/>
      <c r="L215" s="168"/>
      <c r="M215" s="169"/>
      <c r="N215" s="169"/>
      <c r="O215" s="169"/>
      <c r="P215" s="93"/>
    </row>
    <row r="216" spans="2:16" s="146" customFormat="1" ht="18" hidden="1" customHeight="1" x14ac:dyDescent="0.25">
      <c r="C216" s="1183"/>
      <c r="D216" s="81"/>
      <c r="E216" s="81"/>
      <c r="F216" s="81"/>
      <c r="G216" s="81"/>
      <c r="H216" s="81"/>
      <c r="I216" s="81"/>
      <c r="J216" s="81"/>
      <c r="K216" s="81"/>
      <c r="L216" s="168"/>
      <c r="M216" s="169"/>
      <c r="N216" s="169"/>
      <c r="O216" s="169"/>
      <c r="P216" s="93"/>
    </row>
    <row r="217" spans="2:16" s="146" customFormat="1" ht="18" hidden="1" customHeight="1" x14ac:dyDescent="0.25">
      <c r="C217" s="80"/>
      <c r="D217" s="81"/>
      <c r="E217" s="206"/>
      <c r="F217" s="206"/>
      <c r="G217" s="206"/>
      <c r="H217" s="81"/>
      <c r="I217" s="81"/>
      <c r="J217" s="81"/>
      <c r="K217" s="81"/>
      <c r="L217" s="206"/>
      <c r="M217" s="206"/>
      <c r="N217" s="206"/>
      <c r="O217" s="94"/>
      <c r="P217" s="93"/>
    </row>
    <row r="218" spans="2:16" s="146" customFormat="1" ht="18" hidden="1" customHeight="1" x14ac:dyDescent="0.25">
      <c r="C218" s="80"/>
      <c r="D218" s="180"/>
      <c r="E218" s="180"/>
      <c r="F218" s="180"/>
      <c r="G218" s="180"/>
      <c r="H218" s="180"/>
      <c r="I218" s="180"/>
      <c r="J218" s="180"/>
      <c r="K218" s="180"/>
      <c r="L218" s="196"/>
      <c r="M218" s="181"/>
      <c r="N218" s="182"/>
      <c r="O218" s="95"/>
      <c r="P218" s="93"/>
    </row>
    <row r="219" spans="2:16" s="146" customFormat="1" ht="18" hidden="1" customHeight="1" x14ac:dyDescent="0.25">
      <c r="C219" s="80"/>
      <c r="D219" s="194"/>
      <c r="E219" s="194"/>
      <c r="F219" s="194"/>
      <c r="G219" s="194"/>
      <c r="H219" s="194"/>
      <c r="I219" s="194"/>
      <c r="J219" s="194"/>
      <c r="K219" s="194"/>
      <c r="L219" s="196"/>
      <c r="M219" s="195"/>
      <c r="N219" s="196"/>
      <c r="O219" s="95"/>
      <c r="P219" s="93"/>
    </row>
    <row r="220" spans="2:16" s="146" customFormat="1" ht="18" hidden="1" customHeight="1" x14ac:dyDescent="0.25">
      <c r="C220" s="80"/>
      <c r="D220" s="194"/>
      <c r="E220" s="194"/>
      <c r="F220" s="194"/>
      <c r="G220" s="194"/>
      <c r="H220" s="194"/>
      <c r="I220" s="194"/>
      <c r="J220" s="194"/>
      <c r="K220" s="194"/>
      <c r="L220" s="196"/>
      <c r="M220" s="195"/>
      <c r="N220" s="196"/>
      <c r="O220" s="95"/>
      <c r="P220" s="93"/>
    </row>
    <row r="221" spans="2:16" s="146" customFormat="1" ht="18" hidden="1" customHeight="1" x14ac:dyDescent="0.25">
      <c r="C221" s="80"/>
      <c r="D221" s="194"/>
      <c r="E221" s="194"/>
      <c r="F221" s="194"/>
      <c r="G221" s="194"/>
      <c r="H221" s="194"/>
      <c r="I221" s="194"/>
      <c r="J221" s="194"/>
      <c r="K221" s="194"/>
      <c r="L221" s="196"/>
      <c r="M221" s="195"/>
      <c r="N221" s="196"/>
      <c r="O221" s="95"/>
      <c r="P221" s="93"/>
    </row>
    <row r="222" spans="2:16" s="146" customFormat="1" ht="18" hidden="1" customHeight="1" thickBot="1" x14ac:dyDescent="0.3">
      <c r="C222" s="80"/>
      <c r="D222" s="81"/>
      <c r="E222" s="81"/>
      <c r="F222" s="81"/>
      <c r="G222" s="81"/>
      <c r="H222" s="81"/>
      <c r="I222" s="81"/>
      <c r="J222" s="81"/>
      <c r="K222" s="81"/>
      <c r="L222" s="81"/>
      <c r="M222" s="81"/>
      <c r="N222" s="81"/>
      <c r="O222" s="96"/>
      <c r="P222" s="97"/>
    </row>
    <row r="223" spans="2:16" s="146" customFormat="1" ht="18" hidden="1" customHeight="1" x14ac:dyDescent="0.25">
      <c r="B223" s="31" t="s">
        <v>34</v>
      </c>
      <c r="C223" s="29"/>
      <c r="E223" s="30"/>
      <c r="F223" s="30"/>
      <c r="G223" s="1041" t="s">
        <v>343</v>
      </c>
      <c r="H223" s="1042"/>
      <c r="I223" s="1042"/>
      <c r="J223" s="1043"/>
      <c r="K223" s="1085">
        <f>'[25]MEMÓRIA DE CÁLCULO'!$K$235</f>
        <v>0</v>
      </c>
      <c r="L223" s="1086"/>
      <c r="M223" s="18"/>
      <c r="N223" s="18"/>
      <c r="O223" s="98"/>
      <c r="P223" s="99"/>
    </row>
    <row r="224" spans="2:16" s="146" customFormat="1" ht="18" hidden="1" customHeight="1" x14ac:dyDescent="0.25">
      <c r="B224" s="31" t="str">
        <f>C208</f>
        <v>1.12</v>
      </c>
      <c r="C224" s="29"/>
      <c r="E224" s="30"/>
      <c r="F224" s="30"/>
      <c r="G224" s="1082" t="s">
        <v>344</v>
      </c>
      <c r="H224" s="1083"/>
      <c r="I224" s="1083"/>
      <c r="J224" s="1084"/>
      <c r="K224" s="1075">
        <f>K223+O208</f>
        <v>0</v>
      </c>
      <c r="L224" s="1076"/>
      <c r="M224" s="18"/>
      <c r="N224" s="18"/>
      <c r="O224" s="98"/>
      <c r="P224" s="99"/>
    </row>
    <row r="225" spans="3:16" s="146" customFormat="1" ht="18" hidden="1" customHeight="1" x14ac:dyDescent="0.25">
      <c r="C225" s="29"/>
      <c r="D225" s="30"/>
      <c r="E225" s="30"/>
      <c r="F225" s="30"/>
      <c r="G225" s="1082" t="s">
        <v>345</v>
      </c>
      <c r="H225" s="1083"/>
      <c r="I225" s="1083"/>
      <c r="J225" s="1084"/>
      <c r="K225" s="1075">
        <f>VLOOKUP(C208,'[26]BM DETALHADO'!$B$13:$E$126,4,FALSE)</f>
        <v>5</v>
      </c>
      <c r="L225" s="1076"/>
      <c r="M225" s="18"/>
      <c r="N225" s="18"/>
      <c r="O225" s="98"/>
      <c r="P225" s="99"/>
    </row>
    <row r="226" spans="3:16" s="146" customFormat="1" ht="18" hidden="1" customHeight="1" thickBot="1" x14ac:dyDescent="0.3">
      <c r="C226" s="29"/>
      <c r="D226" s="30"/>
      <c r="E226" s="30"/>
      <c r="F226" s="30"/>
      <c r="G226" s="1077" t="s">
        <v>346</v>
      </c>
      <c r="H226" s="1078"/>
      <c r="I226" s="1078"/>
      <c r="J226" s="1079"/>
      <c r="K226" s="1068">
        <f>K225-K224</f>
        <v>5</v>
      </c>
      <c r="L226" s="1069"/>
      <c r="M226" s="18"/>
      <c r="N226" s="18"/>
      <c r="O226" s="98"/>
      <c r="P226" s="99"/>
    </row>
    <row r="227" spans="3:16" s="146" customFormat="1" ht="18" hidden="1" customHeight="1" thickBot="1" x14ac:dyDescent="0.3">
      <c r="C227" s="21"/>
      <c r="D227" s="22"/>
      <c r="E227" s="22"/>
      <c r="F227" s="22"/>
      <c r="G227" s="27"/>
      <c r="H227" s="27"/>
      <c r="I227" s="27"/>
      <c r="J227" s="27"/>
      <c r="K227" s="28"/>
      <c r="L227" s="28"/>
      <c r="M227" s="22"/>
      <c r="N227" s="22"/>
      <c r="O227" s="100"/>
      <c r="P227" s="101"/>
    </row>
    <row r="228" spans="3:16" s="146" customFormat="1" ht="18" hidden="1" customHeight="1" x14ac:dyDescent="0.25">
      <c r="C228" s="20" t="s">
        <v>34</v>
      </c>
      <c r="D228" s="1052" t="s">
        <v>35</v>
      </c>
      <c r="E228" s="1053"/>
      <c r="F228" s="1053"/>
      <c r="G228" s="1053"/>
      <c r="H228" s="1053"/>
      <c r="I228" s="1053"/>
      <c r="J228" s="1053"/>
      <c r="K228" s="1053"/>
      <c r="L228" s="1053"/>
      <c r="M228" s="1054"/>
      <c r="N228" s="145" t="s">
        <v>0</v>
      </c>
      <c r="O228" s="1107" t="s">
        <v>4</v>
      </c>
      <c r="P228" s="1108"/>
    </row>
    <row r="229" spans="3:16" s="146" customFormat="1" ht="45.75" hidden="1" customHeight="1" thickBot="1" x14ac:dyDescent="0.3">
      <c r="C229" s="85" t="s">
        <v>50</v>
      </c>
      <c r="D229" s="1070" t="str">
        <f>VLOOKUP(C229,'BM DETALHADO'!$B$13:$D$126,2,FALSE)</f>
        <v>EXTINTOR DE CO2 6KG - FORNECIMENTO E INSTALACAO</v>
      </c>
      <c r="E229" s="1071"/>
      <c r="F229" s="1071"/>
      <c r="G229" s="1071"/>
      <c r="H229" s="1071"/>
      <c r="I229" s="1071"/>
      <c r="J229" s="1071"/>
      <c r="K229" s="1071"/>
      <c r="L229" s="1071"/>
      <c r="M229" s="1072"/>
      <c r="N229" s="19" t="str">
        <f>VLOOKUP(C229,'BM DETALHADO'!$B$13:$D$126,3,FALSE)</f>
        <v>UN</v>
      </c>
      <c r="O229" s="1109"/>
      <c r="P229" s="1110"/>
    </row>
    <row r="230" spans="3:16" s="146" customFormat="1" ht="18" hidden="1" customHeight="1" x14ac:dyDescent="0.25">
      <c r="C230" s="77"/>
      <c r="D230" s="78"/>
      <c r="E230" s="79"/>
      <c r="F230" s="79"/>
      <c r="G230" s="79"/>
      <c r="H230" s="79"/>
      <c r="I230" s="79"/>
      <c r="J230" s="79"/>
      <c r="K230" s="79"/>
      <c r="L230" s="79"/>
      <c r="M230" s="79"/>
      <c r="N230" s="79"/>
      <c r="O230" s="91"/>
      <c r="P230" s="92"/>
    </row>
    <row r="231" spans="3:16" s="146" customFormat="1" ht="18" hidden="1" customHeight="1" x14ac:dyDescent="0.25">
      <c r="C231" s="147"/>
      <c r="D231" s="1259"/>
      <c r="E231" s="1259"/>
      <c r="F231" s="1259"/>
      <c r="G231" s="179"/>
      <c r="H231" s="178"/>
      <c r="I231" s="176"/>
      <c r="J231" s="155"/>
      <c r="K231" s="154"/>
      <c r="L231" s="155"/>
      <c r="M231" s="1253"/>
      <c r="N231" s="1253"/>
      <c r="O231" s="148"/>
      <c r="P231" s="93"/>
    </row>
    <row r="232" spans="3:16" s="146" customFormat="1" ht="18" hidden="1" customHeight="1" x14ac:dyDescent="0.25">
      <c r="C232" s="147"/>
      <c r="D232" s="152"/>
      <c r="E232" s="152"/>
      <c r="F232" s="152"/>
      <c r="G232" s="152"/>
      <c r="H232" s="153"/>
      <c r="I232" s="153"/>
      <c r="J232" s="153"/>
      <c r="K232" s="153"/>
      <c r="L232" s="153"/>
      <c r="M232" s="153"/>
      <c r="N232" s="153"/>
      <c r="O232" s="94"/>
      <c r="P232" s="93"/>
    </row>
    <row r="233" spans="3:16" s="146" customFormat="1" ht="18" hidden="1" customHeight="1" x14ac:dyDescent="0.25">
      <c r="C233" s="1183"/>
      <c r="D233" s="1249"/>
      <c r="E233" s="1249"/>
      <c r="F233" s="1249"/>
      <c r="G233" s="1249"/>
      <c r="H233" s="1250"/>
      <c r="I233" s="1251"/>
      <c r="J233" s="1252"/>
      <c r="K233" s="1251"/>
      <c r="L233" s="1252"/>
      <c r="M233" s="1253"/>
      <c r="N233" s="1253"/>
      <c r="O233" s="1253"/>
      <c r="P233" s="93"/>
    </row>
    <row r="234" spans="3:16" s="146" customFormat="1" ht="18" hidden="1" customHeight="1" x14ac:dyDescent="0.25">
      <c r="C234" s="1183"/>
      <c r="D234" s="1249"/>
      <c r="E234" s="1249"/>
      <c r="F234" s="1249"/>
      <c r="G234" s="1249"/>
      <c r="H234" s="1250"/>
      <c r="I234" s="1251"/>
      <c r="J234" s="1252"/>
      <c r="K234" s="1251"/>
      <c r="L234" s="1252"/>
      <c r="M234" s="1253"/>
      <c r="N234" s="1253"/>
      <c r="O234" s="1253"/>
      <c r="P234" s="93"/>
    </row>
    <row r="235" spans="3:16" s="146" customFormat="1" ht="18" hidden="1" customHeight="1" x14ac:dyDescent="0.25">
      <c r="C235" s="1183"/>
      <c r="D235" s="1249"/>
      <c r="E235" s="1249"/>
      <c r="F235" s="1249"/>
      <c r="G235" s="1249"/>
      <c r="H235" s="1250"/>
      <c r="I235" s="1251"/>
      <c r="J235" s="1252"/>
      <c r="K235" s="1251"/>
      <c r="L235" s="1252"/>
      <c r="M235" s="1253"/>
      <c r="N235" s="1253"/>
      <c r="O235" s="1253"/>
      <c r="P235" s="93"/>
    </row>
    <row r="236" spans="3:16" s="146" customFormat="1" ht="18" hidden="1" customHeight="1" x14ac:dyDescent="0.25">
      <c r="C236" s="1183"/>
      <c r="D236" s="1249"/>
      <c r="E236" s="1249"/>
      <c r="F236" s="1249"/>
      <c r="G236" s="1249"/>
      <c r="H236" s="1250"/>
      <c r="I236" s="1251"/>
      <c r="J236" s="1252"/>
      <c r="K236" s="1251"/>
      <c r="L236" s="1252"/>
      <c r="M236" s="1253"/>
      <c r="N236" s="1253"/>
      <c r="O236" s="1253"/>
      <c r="P236" s="93"/>
    </row>
    <row r="237" spans="3:16" s="146" customFormat="1" ht="18" hidden="1" customHeight="1" x14ac:dyDescent="0.25">
      <c r="C237" s="1183"/>
      <c r="D237" s="1249"/>
      <c r="E237" s="1249"/>
      <c r="F237" s="1249"/>
      <c r="G237" s="1249"/>
      <c r="H237" s="1250"/>
      <c r="I237" s="1251"/>
      <c r="J237" s="1252"/>
      <c r="K237" s="1251"/>
      <c r="L237" s="1252"/>
      <c r="M237" s="1253"/>
      <c r="N237" s="1253"/>
      <c r="O237" s="1253"/>
      <c r="P237" s="93"/>
    </row>
    <row r="238" spans="3:16" s="146" customFormat="1" ht="18" hidden="1" customHeight="1" x14ac:dyDescent="0.25">
      <c r="C238" s="80"/>
      <c r="D238" s="81"/>
      <c r="E238" s="153"/>
      <c r="F238" s="153"/>
      <c r="G238" s="153"/>
      <c r="H238" s="153"/>
      <c r="I238" s="153"/>
      <c r="J238" s="153"/>
      <c r="K238" s="153"/>
      <c r="L238" s="153"/>
      <c r="M238" s="153"/>
      <c r="N238" s="153"/>
      <c r="O238" s="94"/>
      <c r="P238" s="93"/>
    </row>
    <row r="239" spans="3:16" s="146" customFormat="1" ht="18" hidden="1" customHeight="1" x14ac:dyDescent="0.25">
      <c r="C239" s="80"/>
      <c r="D239" s="1278"/>
      <c r="E239" s="1278"/>
      <c r="F239" s="1278"/>
      <c r="G239" s="1278"/>
      <c r="H239" s="1278"/>
      <c r="I239" s="1278"/>
      <c r="J239" s="1278"/>
      <c r="K239" s="1278"/>
      <c r="L239" s="150"/>
      <c r="M239" s="1279"/>
      <c r="N239" s="1128"/>
      <c r="O239" s="95"/>
      <c r="P239" s="93"/>
    </row>
    <row r="240" spans="3:16" s="146" customFormat="1" ht="18" hidden="1" customHeight="1" x14ac:dyDescent="0.25">
      <c r="C240" s="80"/>
      <c r="D240" s="151"/>
      <c r="E240" s="151"/>
      <c r="F240" s="151"/>
      <c r="G240" s="151"/>
      <c r="H240" s="151"/>
      <c r="I240" s="151"/>
      <c r="J240" s="151"/>
      <c r="K240" s="151"/>
      <c r="L240" s="150"/>
      <c r="M240" s="149"/>
      <c r="N240" s="150"/>
      <c r="O240" s="95"/>
      <c r="P240" s="93"/>
    </row>
    <row r="241" spans="2:16" s="146" customFormat="1" ht="18" hidden="1" customHeight="1" x14ac:dyDescent="0.25">
      <c r="C241" s="80"/>
      <c r="D241" s="151"/>
      <c r="E241" s="151"/>
      <c r="F241" s="151"/>
      <c r="G241" s="151"/>
      <c r="H241" s="151"/>
      <c r="I241" s="151"/>
      <c r="J241" s="151"/>
      <c r="K241" s="151"/>
      <c r="L241" s="150"/>
      <c r="M241" s="149"/>
      <c r="N241" s="150"/>
      <c r="O241" s="95"/>
      <c r="P241" s="93"/>
    </row>
    <row r="242" spans="2:16" s="146" customFormat="1" ht="18" hidden="1" customHeight="1" x14ac:dyDescent="0.25">
      <c r="C242" s="80"/>
      <c r="D242" s="151"/>
      <c r="E242" s="151"/>
      <c r="F242" s="151"/>
      <c r="G242" s="151"/>
      <c r="H242" s="151"/>
      <c r="I242" s="151"/>
      <c r="J242" s="151"/>
      <c r="K242" s="151"/>
      <c r="L242" s="150"/>
      <c r="M242" s="149"/>
      <c r="N242" s="150"/>
      <c r="O242" s="95"/>
      <c r="P242" s="93"/>
    </row>
    <row r="243" spans="2:16" s="146" customFormat="1" ht="18" hidden="1" customHeight="1" thickBot="1" x14ac:dyDescent="0.3">
      <c r="C243" s="80"/>
      <c r="D243" s="81"/>
      <c r="E243" s="81"/>
      <c r="F243" s="81"/>
      <c r="G243" s="81"/>
      <c r="H243" s="81"/>
      <c r="I243" s="81"/>
      <c r="J243" s="81"/>
      <c r="K243" s="81"/>
      <c r="L243" s="81"/>
      <c r="M243" s="81"/>
      <c r="N243" s="81"/>
      <c r="O243" s="96"/>
      <c r="P243" s="97"/>
    </row>
    <row r="244" spans="2:16" s="146" customFormat="1" ht="18" hidden="1" customHeight="1" x14ac:dyDescent="0.25">
      <c r="B244" s="31" t="s">
        <v>34</v>
      </c>
      <c r="C244" s="29"/>
      <c r="E244" s="30"/>
      <c r="F244" s="30"/>
      <c r="G244" s="1041" t="s">
        <v>343</v>
      </c>
      <c r="H244" s="1042"/>
      <c r="I244" s="1042"/>
      <c r="J244" s="1043"/>
      <c r="K244" s="1085">
        <f>'[25]MEMÓRIA DE CÁLCULO'!$K$256</f>
        <v>6</v>
      </c>
      <c r="L244" s="1086"/>
      <c r="M244" s="18"/>
      <c r="N244" s="18"/>
      <c r="O244" s="98"/>
      <c r="P244" s="99"/>
    </row>
    <row r="245" spans="2:16" s="146" customFormat="1" ht="18" hidden="1" customHeight="1" x14ac:dyDescent="0.25">
      <c r="B245" s="31" t="str">
        <f>C229</f>
        <v>1.13</v>
      </c>
      <c r="C245" s="29"/>
      <c r="E245" s="30"/>
      <c r="F245" s="30"/>
      <c r="G245" s="1082" t="s">
        <v>344</v>
      </c>
      <c r="H245" s="1083"/>
      <c r="I245" s="1083"/>
      <c r="J245" s="1084"/>
      <c r="K245" s="1075">
        <f>K244+O229</f>
        <v>6</v>
      </c>
      <c r="L245" s="1076"/>
      <c r="M245" s="18"/>
      <c r="N245" s="18"/>
      <c r="O245" s="98"/>
      <c r="P245" s="99"/>
    </row>
    <row r="246" spans="2:16" s="146" customFormat="1" ht="18" hidden="1" customHeight="1" x14ac:dyDescent="0.25">
      <c r="C246" s="29"/>
      <c r="D246" s="30"/>
      <c r="E246" s="30"/>
      <c r="F246" s="30"/>
      <c r="G246" s="1082" t="s">
        <v>345</v>
      </c>
      <c r="H246" s="1083"/>
      <c r="I246" s="1083"/>
      <c r="J246" s="1084"/>
      <c r="K246" s="1075">
        <f>VLOOKUP(C229,'[26]BM DETALHADO'!$B$13:$E$126,4,FALSE)</f>
        <v>6</v>
      </c>
      <c r="L246" s="1076"/>
      <c r="M246" s="18"/>
      <c r="N246" s="18"/>
      <c r="O246" s="98"/>
      <c r="P246" s="99"/>
    </row>
    <row r="247" spans="2:16" s="146" customFormat="1" ht="18" hidden="1" customHeight="1" thickBot="1" x14ac:dyDescent="0.3">
      <c r="C247" s="29"/>
      <c r="D247" s="30"/>
      <c r="E247" s="30"/>
      <c r="F247" s="30"/>
      <c r="G247" s="1077" t="s">
        <v>346</v>
      </c>
      <c r="H247" s="1078"/>
      <c r="I247" s="1078"/>
      <c r="J247" s="1079"/>
      <c r="K247" s="1068">
        <f>K246-K245</f>
        <v>0</v>
      </c>
      <c r="L247" s="1069"/>
      <c r="M247" s="18"/>
      <c r="N247" s="18"/>
      <c r="O247" s="98"/>
      <c r="P247" s="99"/>
    </row>
    <row r="248" spans="2:16" s="146" customFormat="1" ht="18" hidden="1" customHeight="1" thickBot="1" x14ac:dyDescent="0.3">
      <c r="C248" s="21"/>
      <c r="D248" s="22"/>
      <c r="E248" s="22"/>
      <c r="F248" s="22"/>
      <c r="G248" s="27"/>
      <c r="H248" s="27"/>
      <c r="I248" s="27"/>
      <c r="J248" s="27"/>
      <c r="K248" s="28"/>
      <c r="L248" s="28"/>
      <c r="M248" s="22"/>
      <c r="N248" s="22"/>
      <c r="O248" s="100"/>
      <c r="P248" s="101"/>
    </row>
    <row r="249" spans="2:16" s="146" customFormat="1" ht="18" customHeight="1" x14ac:dyDescent="0.25">
      <c r="C249" s="20" t="s">
        <v>34</v>
      </c>
      <c r="D249" s="1052" t="s">
        <v>35</v>
      </c>
      <c r="E249" s="1053"/>
      <c r="F249" s="1053"/>
      <c r="G249" s="1053"/>
      <c r="H249" s="1053"/>
      <c r="I249" s="1053"/>
      <c r="J249" s="1053"/>
      <c r="K249" s="1053"/>
      <c r="L249" s="1053"/>
      <c r="M249" s="1054"/>
      <c r="N249" s="145" t="s">
        <v>0</v>
      </c>
      <c r="O249" s="1107" t="s">
        <v>4</v>
      </c>
      <c r="P249" s="1108"/>
    </row>
    <row r="250" spans="2:16" s="146" customFormat="1" ht="69.95" customHeight="1" thickBot="1" x14ac:dyDescent="0.3">
      <c r="C250" s="85" t="s">
        <v>52</v>
      </c>
      <c r="D250" s="1070" t="str">
        <f>VLOOKUP(C250,'BM DETALHADO'!$B$13:$D$126,2,FALSE)</f>
        <v>ANDAIME FACHADEIRO INCLUSIVE FORRO METALICO</v>
      </c>
      <c r="E250" s="1071"/>
      <c r="F250" s="1071"/>
      <c r="G250" s="1071"/>
      <c r="H250" s="1071"/>
      <c r="I250" s="1071"/>
      <c r="J250" s="1071"/>
      <c r="K250" s="1071"/>
      <c r="L250" s="1071"/>
      <c r="M250" s="1072"/>
      <c r="N250" s="19" t="str">
        <f>VLOOKUP(C250,'BM DETALHADO'!$B$13:$D$126,3,FALSE)</f>
        <v>M2MES</v>
      </c>
      <c r="O250" s="1109">
        <f>M263</f>
        <v>764.66666666666663</v>
      </c>
      <c r="P250" s="1110"/>
    </row>
    <row r="251" spans="2:16" s="146" customFormat="1" ht="9.9499999999999993" customHeight="1" x14ac:dyDescent="0.25">
      <c r="C251" s="77"/>
      <c r="D251" s="78"/>
      <c r="E251" s="79"/>
      <c r="F251" s="79"/>
      <c r="G251" s="79"/>
      <c r="H251" s="79"/>
      <c r="I251" s="79"/>
      <c r="J251" s="79"/>
      <c r="K251" s="79"/>
      <c r="L251" s="79"/>
      <c r="M251" s="79"/>
      <c r="N251" s="79"/>
      <c r="O251" s="91"/>
      <c r="P251" s="92"/>
    </row>
    <row r="252" spans="2:16" s="146" customFormat="1" ht="18" customHeight="1" x14ac:dyDescent="0.25">
      <c r="C252" s="336"/>
      <c r="D252" s="1301" t="s">
        <v>301</v>
      </c>
      <c r="E252" s="1301"/>
      <c r="F252" s="1301"/>
      <c r="G252" s="1301"/>
      <c r="H252" s="1301"/>
      <c r="I252" s="283"/>
      <c r="J252" s="447"/>
      <c r="K252" s="1328"/>
      <c r="L252" s="1328"/>
      <c r="M252" s="1328"/>
      <c r="N252" s="1328"/>
      <c r="O252" s="1328"/>
      <c r="P252" s="93"/>
    </row>
    <row r="253" spans="2:16" s="146" customFormat="1" ht="18" customHeight="1" x14ac:dyDescent="0.25">
      <c r="C253" s="336"/>
      <c r="D253" s="1058" t="s">
        <v>19</v>
      </c>
      <c r="E253" s="1058"/>
      <c r="F253" s="1258">
        <v>6882</v>
      </c>
      <c r="G253" s="1258"/>
      <c r="H253" s="376" t="s">
        <v>315</v>
      </c>
      <c r="I253" s="377"/>
      <c r="J253" s="552"/>
      <c r="K253" s="788"/>
      <c r="L253" s="789"/>
      <c r="M253" s="790"/>
      <c r="N253" s="1269"/>
      <c r="O253" s="1269"/>
      <c r="P253" s="213"/>
    </row>
    <row r="254" spans="2:16" s="146" customFormat="1" ht="18" customHeight="1" x14ac:dyDescent="0.25">
      <c r="C254" s="336"/>
      <c r="D254" s="1061" t="s">
        <v>299</v>
      </c>
      <c r="E254" s="1061"/>
      <c r="F254" s="1260">
        <v>6</v>
      </c>
      <c r="G254" s="1260"/>
      <c r="H254" s="381" t="s">
        <v>298</v>
      </c>
      <c r="I254" s="382"/>
      <c r="J254" s="553"/>
      <c r="K254" s="791"/>
      <c r="L254" s="791"/>
      <c r="M254" s="792"/>
      <c r="N254" s="1270"/>
      <c r="O254" s="1270"/>
      <c r="P254" s="489"/>
    </row>
    <row r="255" spans="2:16" s="146" customFormat="1" ht="18" customHeight="1" x14ac:dyDescent="0.25">
      <c r="C255" s="235"/>
      <c r="D255" s="1261" t="s">
        <v>300</v>
      </c>
      <c r="E255" s="1261"/>
      <c r="F255" s="1262">
        <f>F253/F254</f>
        <v>1147</v>
      </c>
      <c r="G255" s="1262"/>
      <c r="H255" s="236" t="s">
        <v>315</v>
      </c>
      <c r="I255" s="385"/>
      <c r="J255" s="552"/>
      <c r="K255" s="791"/>
      <c r="L255" s="791"/>
      <c r="M255" s="792"/>
      <c r="N255" s="1270"/>
      <c r="O255" s="1270"/>
      <c r="P255" s="213"/>
    </row>
    <row r="256" spans="2:16" s="146" customFormat="1" ht="18" customHeight="1" x14ac:dyDescent="0.25">
      <c r="C256" s="209"/>
      <c r="D256" s="378"/>
      <c r="E256" s="378"/>
      <c r="F256" s="378"/>
      <c r="G256" s="283"/>
      <c r="H256" s="283"/>
      <c r="I256" s="379"/>
      <c r="J256" s="552"/>
      <c r="K256" s="492"/>
      <c r="L256" s="552"/>
      <c r="M256" s="410"/>
      <c r="N256" s="410"/>
      <c r="O256" s="410"/>
      <c r="P256" s="213"/>
    </row>
    <row r="257" spans="2:16" s="146" customFormat="1" ht="18" customHeight="1" x14ac:dyDescent="0.25">
      <c r="C257" s="209"/>
      <c r="D257" s="1329" t="s">
        <v>337</v>
      </c>
      <c r="E257" s="1329"/>
      <c r="F257" s="1329"/>
      <c r="G257" s="1329"/>
      <c r="H257" s="1329"/>
      <c r="I257" s="379"/>
      <c r="J257" s="1332" t="s">
        <v>314</v>
      </c>
      <c r="K257" s="1139"/>
      <c r="L257" s="1139"/>
      <c r="M257" s="1139"/>
      <c r="N257" s="1139"/>
      <c r="O257" s="1139"/>
      <c r="P257" s="1333"/>
    </row>
    <row r="258" spans="2:16" s="146" customFormat="1" ht="18" customHeight="1" x14ac:dyDescent="0.25">
      <c r="C258" s="1334" t="s">
        <v>302</v>
      </c>
      <c r="D258" s="1335"/>
      <c r="E258" s="1335"/>
      <c r="F258" s="1300">
        <v>9</v>
      </c>
      <c r="G258" s="1300"/>
      <c r="H258" s="376" t="s">
        <v>298</v>
      </c>
      <c r="I258" s="379"/>
      <c r="J258" s="1335" t="s">
        <v>302</v>
      </c>
      <c r="K258" s="1335"/>
      <c r="L258" s="1335"/>
      <c r="M258" s="1300">
        <v>9</v>
      </c>
      <c r="N258" s="1300"/>
      <c r="O258" s="376" t="s">
        <v>298</v>
      </c>
      <c r="P258" s="93"/>
    </row>
    <row r="259" spans="2:16" s="146" customFormat="1" ht="18" customHeight="1" x14ac:dyDescent="0.25">
      <c r="C259" s="1263" t="s">
        <v>304</v>
      </c>
      <c r="D259" s="1264"/>
      <c r="E259" s="1264"/>
      <c r="F259" s="1061">
        <v>6882</v>
      </c>
      <c r="G259" s="1061"/>
      <c r="H259" s="381" t="s">
        <v>315</v>
      </c>
      <c r="I259" s="284"/>
      <c r="J259" s="1264" t="s">
        <v>304</v>
      </c>
      <c r="K259" s="1264"/>
      <c r="L259" s="1264"/>
      <c r="M259" s="1061">
        <v>6882</v>
      </c>
      <c r="N259" s="1061"/>
      <c r="O259" s="381" t="s">
        <v>315</v>
      </c>
      <c r="P259" s="93"/>
    </row>
    <row r="260" spans="2:16" s="146" customFormat="1" ht="18" customHeight="1" x14ac:dyDescent="0.25">
      <c r="C260" s="1263" t="s">
        <v>303</v>
      </c>
      <c r="D260" s="1264"/>
      <c r="E260" s="1264"/>
      <c r="F260" s="1061">
        <f>F259/F258</f>
        <v>764.66666666666663</v>
      </c>
      <c r="G260" s="1061"/>
      <c r="H260" s="381" t="s">
        <v>315</v>
      </c>
      <c r="I260" s="386"/>
      <c r="J260" s="1336" t="s">
        <v>303</v>
      </c>
      <c r="K260" s="1336"/>
      <c r="L260" s="1336"/>
      <c r="M260" s="1337">
        <f>M259/M258</f>
        <v>764.66666666666663</v>
      </c>
      <c r="N260" s="1337"/>
      <c r="O260" s="238" t="s">
        <v>315</v>
      </c>
      <c r="P260" s="93"/>
    </row>
    <row r="261" spans="2:16" s="146" customFormat="1" ht="18" customHeight="1" x14ac:dyDescent="0.25">
      <c r="C261" s="1257" t="s">
        <v>305</v>
      </c>
      <c r="D261" s="1061"/>
      <c r="E261" s="1061"/>
      <c r="F261" s="1260">
        <f>F255-F260</f>
        <v>382.33333333333337</v>
      </c>
      <c r="G261" s="1260"/>
      <c r="H261" s="381" t="s">
        <v>315</v>
      </c>
      <c r="I261" s="387"/>
      <c r="J261" s="387"/>
      <c r="K261" s="387"/>
      <c r="L261" s="337"/>
      <c r="M261" s="388"/>
      <c r="N261" s="337"/>
      <c r="O261" s="389"/>
      <c r="P261" s="93"/>
    </row>
    <row r="262" spans="2:16" s="146" customFormat="1" ht="18" customHeight="1" x14ac:dyDescent="0.25">
      <c r="C262" s="1353" t="s">
        <v>306</v>
      </c>
      <c r="D262" s="1336"/>
      <c r="E262" s="1336"/>
      <c r="F262" s="1354">
        <f>F260-F261</f>
        <v>382.33333333333326</v>
      </c>
      <c r="G262" s="1354"/>
      <c r="H262" s="238" t="s">
        <v>315</v>
      </c>
      <c r="I262" s="387"/>
      <c r="J262" s="1265" t="s">
        <v>434</v>
      </c>
      <c r="K262" s="1265"/>
      <c r="L262" s="1265"/>
      <c r="M262" s="1265"/>
      <c r="N262" s="1265"/>
      <c r="O262" s="1265"/>
      <c r="P262" s="1266"/>
    </row>
    <row r="263" spans="2:16" s="146" customFormat="1" ht="18" customHeight="1" x14ac:dyDescent="0.25">
      <c r="C263" s="80"/>
      <c r="D263" s="387"/>
      <c r="E263" s="387"/>
      <c r="F263" s="387"/>
      <c r="G263" s="387"/>
      <c r="H263" s="387"/>
      <c r="I263" s="387"/>
      <c r="J263" s="1267" t="s">
        <v>303</v>
      </c>
      <c r="K263" s="1267"/>
      <c r="L263" s="1267"/>
      <c r="M263" s="1268">
        <f>M260</f>
        <v>764.66666666666663</v>
      </c>
      <c r="N263" s="1268"/>
      <c r="O263" s="318" t="s">
        <v>315</v>
      </c>
      <c r="P263" s="93"/>
    </row>
    <row r="264" spans="2:16" s="146" customFormat="1" ht="9.9499999999999993" customHeight="1" thickBot="1" x14ac:dyDescent="0.3">
      <c r="C264" s="80"/>
      <c r="D264" s="81"/>
      <c r="E264" s="81"/>
      <c r="F264" s="81"/>
      <c r="G264" s="81"/>
      <c r="H264" s="81"/>
      <c r="I264" s="81"/>
      <c r="J264" s="81"/>
      <c r="K264" s="81"/>
      <c r="L264" s="81"/>
      <c r="M264" s="81"/>
      <c r="N264" s="81"/>
      <c r="O264" s="96"/>
      <c r="P264" s="97"/>
    </row>
    <row r="265" spans="2:16" s="146" customFormat="1" ht="18" customHeight="1" x14ac:dyDescent="0.25">
      <c r="B265" s="367" t="s">
        <v>34</v>
      </c>
      <c r="C265" s="29"/>
      <c r="D265" s="348"/>
      <c r="E265" s="30"/>
      <c r="F265" s="30"/>
      <c r="G265" s="1041" t="s">
        <v>343</v>
      </c>
      <c r="H265" s="1042"/>
      <c r="I265" s="1042"/>
      <c r="J265" s="1043"/>
      <c r="K265" s="1085">
        <f>'[27]MEMÓRIA DE CÁLCULO'!$K$266</f>
        <v>6117.3333333333339</v>
      </c>
      <c r="L265" s="1086"/>
      <c r="M265" s="18"/>
      <c r="N265" s="18"/>
      <c r="O265" s="98"/>
      <c r="P265" s="99"/>
    </row>
    <row r="266" spans="2:16" s="146" customFormat="1" ht="18" customHeight="1" x14ac:dyDescent="0.25">
      <c r="B266" s="367" t="str">
        <f>C250</f>
        <v>1.15</v>
      </c>
      <c r="C266" s="29"/>
      <c r="D266" s="348"/>
      <c r="E266" s="30"/>
      <c r="F266" s="30"/>
      <c r="G266" s="1082" t="s">
        <v>344</v>
      </c>
      <c r="H266" s="1083"/>
      <c r="I266" s="1083"/>
      <c r="J266" s="1084"/>
      <c r="K266" s="1075">
        <f>K265+O250</f>
        <v>6882.0000000000009</v>
      </c>
      <c r="L266" s="1076"/>
      <c r="M266" s="18"/>
      <c r="N266" s="18"/>
      <c r="O266" s="98"/>
      <c r="P266" s="99"/>
    </row>
    <row r="267" spans="2:16" s="146" customFormat="1" ht="18" customHeight="1" x14ac:dyDescent="0.25">
      <c r="C267" s="29"/>
      <c r="D267" s="30"/>
      <c r="E267" s="30"/>
      <c r="F267" s="30"/>
      <c r="G267" s="1082" t="s">
        <v>345</v>
      </c>
      <c r="H267" s="1083"/>
      <c r="I267" s="1083"/>
      <c r="J267" s="1084"/>
      <c r="K267" s="1075">
        <f>VLOOKUP(C250,'[26]BM DETALHADO'!$B$13:$E$126,4,FALSE)</f>
        <v>6882</v>
      </c>
      <c r="L267" s="1076"/>
      <c r="M267" s="18"/>
      <c r="N267" s="18"/>
      <c r="O267" s="98"/>
      <c r="P267" s="99"/>
    </row>
    <row r="268" spans="2:16" s="146" customFormat="1" ht="18" customHeight="1" thickBot="1" x14ac:dyDescent="0.3">
      <c r="C268" s="29"/>
      <c r="D268" s="30"/>
      <c r="E268" s="30"/>
      <c r="F268" s="30"/>
      <c r="G268" s="1077" t="s">
        <v>346</v>
      </c>
      <c r="H268" s="1078"/>
      <c r="I268" s="1078"/>
      <c r="J268" s="1079"/>
      <c r="K268" s="1068">
        <f>K267-K266</f>
        <v>0</v>
      </c>
      <c r="L268" s="1069"/>
      <c r="M268" s="18"/>
      <c r="N268" s="18"/>
      <c r="O268" s="98"/>
      <c r="P268" s="99"/>
    </row>
    <row r="269" spans="2:16" s="146" customFormat="1" ht="9.9499999999999993" customHeight="1" thickBot="1" x14ac:dyDescent="0.3">
      <c r="C269" s="21"/>
      <c r="D269" s="22"/>
      <c r="E269" s="22"/>
      <c r="F269" s="22"/>
      <c r="G269" s="27"/>
      <c r="H269" s="27"/>
      <c r="I269" s="27"/>
      <c r="J269" s="27"/>
      <c r="K269" s="28"/>
      <c r="L269" s="28"/>
      <c r="M269" s="22"/>
      <c r="N269" s="22"/>
      <c r="O269" s="100"/>
      <c r="P269" s="101"/>
    </row>
    <row r="270" spans="2:16" s="146" customFormat="1" ht="18" customHeight="1" x14ac:dyDescent="0.25">
      <c r="C270" s="20" t="s">
        <v>34</v>
      </c>
      <c r="D270" s="1052" t="s">
        <v>35</v>
      </c>
      <c r="E270" s="1053"/>
      <c r="F270" s="1053"/>
      <c r="G270" s="1053"/>
      <c r="H270" s="1053"/>
      <c r="I270" s="1053"/>
      <c r="J270" s="1053"/>
      <c r="K270" s="1053"/>
      <c r="L270" s="1053"/>
      <c r="M270" s="1054"/>
      <c r="N270" s="145" t="s">
        <v>0</v>
      </c>
      <c r="O270" s="1107" t="s">
        <v>4</v>
      </c>
      <c r="P270" s="1108"/>
    </row>
    <row r="271" spans="2:16" s="146" customFormat="1" ht="69.95" customHeight="1" thickBot="1" x14ac:dyDescent="0.3">
      <c r="C271" s="85" t="s">
        <v>53</v>
      </c>
      <c r="D271" s="1070" t="str">
        <f>VLOOKUP(C271,'BM DETALHADO'!$B$13:$D$126,2,FALSE)</f>
        <v>GUARDA CORPO MADEIRA L= 15 CM P/ ANDAIME FACHADEIRO</v>
      </c>
      <c r="E271" s="1071"/>
      <c r="F271" s="1071"/>
      <c r="G271" s="1071"/>
      <c r="H271" s="1071"/>
      <c r="I271" s="1071"/>
      <c r="J271" s="1071"/>
      <c r="K271" s="1071"/>
      <c r="L271" s="1071"/>
      <c r="M271" s="1072"/>
      <c r="N271" s="19" t="str">
        <f>VLOOKUP(C271,'BM DETALHADO'!$B$13:$D$126,3,FALSE)</f>
        <v>M2</v>
      </c>
      <c r="O271" s="1109">
        <v>8.69</v>
      </c>
      <c r="P271" s="1110"/>
    </row>
    <row r="272" spans="2:16" s="146" customFormat="1" ht="9.9499999999999993" customHeight="1" x14ac:dyDescent="0.25">
      <c r="C272" s="77"/>
      <c r="D272" s="78"/>
      <c r="E272" s="79"/>
      <c r="F272" s="79"/>
      <c r="G272" s="79"/>
      <c r="H272" s="79"/>
      <c r="I272" s="79"/>
      <c r="J272" s="79"/>
      <c r="K272" s="79"/>
      <c r="L272" s="79"/>
      <c r="M272" s="79"/>
      <c r="N272" s="79"/>
      <c r="O272" s="91"/>
      <c r="P272" s="92"/>
    </row>
    <row r="273" spans="2:16" s="146" customFormat="1" ht="18" customHeight="1" x14ac:dyDescent="0.25">
      <c r="C273" s="336"/>
      <c r="D273" s="1330" t="s">
        <v>319</v>
      </c>
      <c r="E273" s="1330"/>
      <c r="F273" s="1330"/>
      <c r="G273" s="1330"/>
      <c r="H273" s="1330"/>
      <c r="I273" s="1330"/>
      <c r="J273" s="283"/>
      <c r="K273" s="390"/>
      <c r="L273" s="391"/>
      <c r="M273" s="169"/>
      <c r="N273" s="169"/>
      <c r="O273" s="343"/>
      <c r="P273" s="93"/>
    </row>
    <row r="274" spans="2:16" s="146" customFormat="1" ht="18" customHeight="1" x14ac:dyDescent="0.25">
      <c r="C274" s="336"/>
      <c r="D274" s="1300" t="s">
        <v>302</v>
      </c>
      <c r="E274" s="1300"/>
      <c r="F274" s="1300"/>
      <c r="G274" s="1300">
        <v>9</v>
      </c>
      <c r="H274" s="1300"/>
      <c r="I274" s="376" t="s">
        <v>298</v>
      </c>
      <c r="J274" s="283"/>
      <c r="K274" s="284"/>
      <c r="L274" s="392"/>
      <c r="M274" s="333"/>
      <c r="N274" s="330"/>
      <c r="O274" s="94"/>
      <c r="P274" s="93"/>
    </row>
    <row r="275" spans="2:16" s="146" customFormat="1" ht="18" customHeight="1" x14ac:dyDescent="0.25">
      <c r="C275" s="202"/>
      <c r="D275" s="1061" t="s">
        <v>304</v>
      </c>
      <c r="E275" s="1061"/>
      <c r="F275" s="1061"/>
      <c r="G275" s="1061">
        <v>1147</v>
      </c>
      <c r="H275" s="1061"/>
      <c r="I275" s="393" t="s">
        <v>292</v>
      </c>
      <c r="J275" s="283"/>
      <c r="K275" s="390"/>
      <c r="L275" s="394"/>
      <c r="M275" s="169"/>
      <c r="N275" s="286"/>
      <c r="O275" s="169"/>
      <c r="P275" s="93"/>
    </row>
    <row r="276" spans="2:16" s="146" customFormat="1" ht="18" customHeight="1" x14ac:dyDescent="0.25">
      <c r="C276" s="202"/>
      <c r="D276" s="1298" t="s">
        <v>303</v>
      </c>
      <c r="E276" s="1298"/>
      <c r="F276" s="1298"/>
      <c r="G276" s="1331">
        <f>G275/G274</f>
        <v>127.44444444444444</v>
      </c>
      <c r="H276" s="1331"/>
      <c r="I276" s="395" t="s">
        <v>292</v>
      </c>
      <c r="J276" s="283"/>
      <c r="K276" s="396"/>
      <c r="L276" s="285"/>
      <c r="M276" s="81"/>
      <c r="N276" s="211"/>
      <c r="O276" s="211"/>
      <c r="P276" s="93"/>
    </row>
    <row r="277" spans="2:16" s="146" customFormat="1" ht="18" customHeight="1" x14ac:dyDescent="0.25">
      <c r="C277" s="202"/>
      <c r="D277" s="283"/>
      <c r="E277" s="283"/>
      <c r="F277" s="283"/>
      <c r="G277" s="283"/>
      <c r="H277" s="283"/>
      <c r="I277" s="283"/>
      <c r="J277" s="283"/>
      <c r="K277" s="284"/>
      <c r="L277" s="283"/>
      <c r="M277" s="81"/>
      <c r="N277" s="211"/>
      <c r="O277" s="211"/>
      <c r="P277" s="93"/>
    </row>
    <row r="278" spans="2:16" s="146" customFormat="1" ht="18" customHeight="1" x14ac:dyDescent="0.25">
      <c r="C278" s="202"/>
      <c r="D278" s="1113" t="s">
        <v>316</v>
      </c>
      <c r="E278" s="1113"/>
      <c r="F278" s="1113"/>
      <c r="G278" s="1113"/>
      <c r="H278" s="1113"/>
      <c r="I278" s="1113"/>
      <c r="J278" s="397" t="s">
        <v>290</v>
      </c>
      <c r="K278" s="398">
        <f>G276</f>
        <v>127.44444444444444</v>
      </c>
      <c r="L278" s="283" t="s">
        <v>292</v>
      </c>
      <c r="M278" s="81"/>
      <c r="N278" s="211"/>
      <c r="O278" s="211"/>
      <c r="P278" s="93"/>
    </row>
    <row r="279" spans="2:16" s="146" customFormat="1" ht="18" customHeight="1" x14ac:dyDescent="0.25">
      <c r="C279" s="202"/>
      <c r="D279" s="1113" t="s">
        <v>318</v>
      </c>
      <c r="E279" s="1113"/>
      <c r="F279" s="1113"/>
      <c r="G279" s="1113"/>
      <c r="H279" s="1113"/>
      <c r="I279" s="1113"/>
      <c r="J279" s="397" t="s">
        <v>290</v>
      </c>
      <c r="K279" s="398">
        <f>G276</f>
        <v>127.44444444444444</v>
      </c>
      <c r="L279" s="283" t="s">
        <v>292</v>
      </c>
      <c r="M279" s="211"/>
      <c r="N279" s="211"/>
      <c r="O279" s="211"/>
      <c r="P279" s="93"/>
    </row>
    <row r="280" spans="2:16" s="146" customFormat="1" ht="18" customHeight="1" x14ac:dyDescent="0.25">
      <c r="C280" s="80"/>
      <c r="D280" s="1113" t="s">
        <v>317</v>
      </c>
      <c r="E280" s="1113"/>
      <c r="F280" s="1113"/>
      <c r="G280" s="1113"/>
      <c r="H280" s="1113"/>
      <c r="I280" s="1113"/>
      <c r="J280" s="397" t="s">
        <v>290</v>
      </c>
      <c r="K280" s="398">
        <v>382.33</v>
      </c>
      <c r="L280" s="283" t="s">
        <v>292</v>
      </c>
      <c r="M280" s="81"/>
      <c r="N280" s="81"/>
      <c r="O280" s="81"/>
      <c r="P280" s="93"/>
    </row>
    <row r="281" spans="2:16" s="146" customFormat="1" ht="18" customHeight="1" x14ac:dyDescent="0.25">
      <c r="C281" s="80"/>
      <c r="D281" s="1271" t="s">
        <v>342</v>
      </c>
      <c r="E281" s="1271"/>
      <c r="F281" s="1271"/>
      <c r="G281" s="1271"/>
      <c r="H281" s="1271"/>
      <c r="I281" s="1271"/>
      <c r="J281" s="284" t="s">
        <v>290</v>
      </c>
      <c r="K281" s="285">
        <v>127.44</v>
      </c>
      <c r="L281" s="283" t="s">
        <v>292</v>
      </c>
      <c r="M281" s="81"/>
      <c r="N281" s="81"/>
      <c r="O281" s="81"/>
      <c r="P281" s="93"/>
    </row>
    <row r="282" spans="2:16" s="146" customFormat="1" ht="18" customHeight="1" x14ac:dyDescent="0.25">
      <c r="C282" s="80"/>
      <c r="D282" s="1271" t="s">
        <v>341</v>
      </c>
      <c r="E282" s="1271"/>
      <c r="F282" s="1271"/>
      <c r="G282" s="1271"/>
      <c r="H282" s="1271"/>
      <c r="I282" s="1271"/>
      <c r="J282" s="478" t="s">
        <v>290</v>
      </c>
      <c r="K282" s="192">
        <f>G276</f>
        <v>127.44444444444444</v>
      </c>
      <c r="L282" s="283" t="s">
        <v>292</v>
      </c>
      <c r="M282" s="81"/>
      <c r="N282" s="81"/>
      <c r="O282" s="81"/>
      <c r="P282" s="93"/>
    </row>
    <row r="283" spans="2:16" s="146" customFormat="1" ht="18" customHeight="1" x14ac:dyDescent="0.25">
      <c r="C283" s="80"/>
      <c r="D283" s="1271" t="s">
        <v>384</v>
      </c>
      <c r="E283" s="1271"/>
      <c r="F283" s="1271"/>
      <c r="G283" s="1271"/>
      <c r="H283" s="1271"/>
      <c r="I283" s="1271"/>
      <c r="J283" s="591" t="s">
        <v>290</v>
      </c>
      <c r="K283" s="192">
        <f>G276</f>
        <v>127.44444444444444</v>
      </c>
      <c r="L283" s="283" t="s">
        <v>292</v>
      </c>
      <c r="M283" s="81"/>
      <c r="N283" s="81"/>
      <c r="O283" s="81"/>
      <c r="P283" s="93"/>
    </row>
    <row r="284" spans="2:16" s="146" customFormat="1" ht="18" customHeight="1" x14ac:dyDescent="0.25">
      <c r="C284" s="80"/>
      <c r="D284" s="1271" t="s">
        <v>399</v>
      </c>
      <c r="E284" s="1271"/>
      <c r="F284" s="1271"/>
      <c r="G284" s="1271"/>
      <c r="H284" s="1271"/>
      <c r="I284" s="1271"/>
      <c r="J284" s="679" t="s">
        <v>290</v>
      </c>
      <c r="K284" s="192">
        <f>G276</f>
        <v>127.44444444444444</v>
      </c>
      <c r="L284" s="283" t="s">
        <v>292</v>
      </c>
      <c r="M284" s="81"/>
      <c r="N284" s="81"/>
      <c r="O284" s="81"/>
      <c r="P284" s="93"/>
    </row>
    <row r="285" spans="2:16" s="577" customFormat="1" ht="18" customHeight="1" x14ac:dyDescent="0.25">
      <c r="C285" s="80"/>
      <c r="D285" s="1114" t="s">
        <v>408</v>
      </c>
      <c r="E285" s="1114"/>
      <c r="F285" s="1114"/>
      <c r="G285" s="1114"/>
      <c r="H285" s="1114"/>
      <c r="I285" s="1114"/>
      <c r="J285" s="680" t="s">
        <v>290</v>
      </c>
      <c r="K285" s="208">
        <f>G276</f>
        <v>127.44444444444444</v>
      </c>
      <c r="L285" s="366" t="s">
        <v>292</v>
      </c>
      <c r="M285" s="81"/>
      <c r="N285" s="81"/>
      <c r="O285" s="81"/>
      <c r="P285" s="93"/>
    </row>
    <row r="286" spans="2:16" s="577" customFormat="1" ht="18" customHeight="1" x14ac:dyDescent="0.25">
      <c r="C286" s="80"/>
      <c r="D286" s="81"/>
      <c r="E286" s="81"/>
      <c r="F286" s="81"/>
      <c r="G286" s="81"/>
      <c r="H286" s="81"/>
      <c r="I286" s="81"/>
      <c r="J286" s="81"/>
      <c r="K286" s="81"/>
      <c r="L286" s="81"/>
      <c r="M286" s="81"/>
      <c r="N286" s="81"/>
      <c r="O286" s="81"/>
      <c r="P286" s="93"/>
    </row>
    <row r="287" spans="2:16" s="146" customFormat="1" ht="19.5" customHeight="1" thickBot="1" x14ac:dyDescent="0.3">
      <c r="C287" s="80"/>
      <c r="D287" s="81"/>
      <c r="E287" s="81"/>
      <c r="F287" s="81"/>
      <c r="G287" s="81"/>
      <c r="H287" s="81"/>
      <c r="I287" s="81"/>
      <c r="J287" s="81"/>
      <c r="K287" s="81"/>
      <c r="L287" s="81"/>
      <c r="M287" s="1115" t="s">
        <v>435</v>
      </c>
      <c r="N287" s="1115"/>
      <c r="O287" s="1115"/>
      <c r="P287" s="1116"/>
    </row>
    <row r="288" spans="2:16" s="146" customFormat="1" ht="18" customHeight="1" x14ac:dyDescent="0.25">
      <c r="B288" s="31" t="s">
        <v>34</v>
      </c>
      <c r="C288" s="29"/>
      <c r="E288" s="30"/>
      <c r="F288" s="30"/>
      <c r="G288" s="1041" t="s">
        <v>343</v>
      </c>
      <c r="H288" s="1042"/>
      <c r="I288" s="1042"/>
      <c r="J288" s="1043"/>
      <c r="K288" s="1085">
        <f>'[27]MEMÓRIA DE CÁLCULO'!$K$289</f>
        <v>1138.3077777777778</v>
      </c>
      <c r="L288" s="1086"/>
      <c r="M288" s="1115"/>
      <c r="N288" s="1115"/>
      <c r="O288" s="1115"/>
      <c r="P288" s="1116"/>
    </row>
    <row r="289" spans="2:16" s="146" customFormat="1" ht="18" customHeight="1" x14ac:dyDescent="0.25">
      <c r="B289" s="31" t="str">
        <f>C271</f>
        <v>1.16</v>
      </c>
      <c r="C289" s="29"/>
      <c r="E289" s="30"/>
      <c r="F289" s="30"/>
      <c r="G289" s="1082" t="s">
        <v>344</v>
      </c>
      <c r="H289" s="1083"/>
      <c r="I289" s="1083"/>
      <c r="J289" s="1084"/>
      <c r="K289" s="1075">
        <f>K288+O271</f>
        <v>1146.9977777777779</v>
      </c>
      <c r="L289" s="1076"/>
      <c r="M289" s="1115"/>
      <c r="N289" s="1115"/>
      <c r="O289" s="1115"/>
      <c r="P289" s="1116"/>
    </row>
    <row r="290" spans="2:16" s="146" customFormat="1" ht="18" customHeight="1" x14ac:dyDescent="0.25">
      <c r="C290" s="29"/>
      <c r="D290" s="30"/>
      <c r="E290" s="30"/>
      <c r="F290" s="30"/>
      <c r="G290" s="1082" t="s">
        <v>345</v>
      </c>
      <c r="H290" s="1083"/>
      <c r="I290" s="1083"/>
      <c r="J290" s="1084"/>
      <c r="K290" s="1075">
        <f>VLOOKUP(C271,'[26]BM DETALHADO'!$B$13:$E$126,4,FALSE)</f>
        <v>1147</v>
      </c>
      <c r="L290" s="1076"/>
      <c r="M290" s="1115"/>
      <c r="N290" s="1115"/>
      <c r="O290" s="1115"/>
      <c r="P290" s="1116"/>
    </row>
    <row r="291" spans="2:16" s="146" customFormat="1" ht="18" customHeight="1" thickBot="1" x14ac:dyDescent="0.3">
      <c r="C291" s="29"/>
      <c r="D291" s="30"/>
      <c r="E291" s="30"/>
      <c r="F291" s="30"/>
      <c r="G291" s="1077" t="s">
        <v>346</v>
      </c>
      <c r="H291" s="1078"/>
      <c r="I291" s="1078"/>
      <c r="J291" s="1079"/>
      <c r="K291" s="1068">
        <f>K290-K289</f>
        <v>2.2222222221444099E-3</v>
      </c>
      <c r="L291" s="1069"/>
      <c r="M291" s="1115"/>
      <c r="N291" s="1115"/>
      <c r="O291" s="1115"/>
      <c r="P291" s="1116"/>
    </row>
    <row r="292" spans="2:16" s="146" customFormat="1" ht="9.9499999999999993" customHeight="1" thickBot="1" x14ac:dyDescent="0.3">
      <c r="C292" s="21"/>
      <c r="D292" s="22"/>
      <c r="E292" s="22"/>
      <c r="F292" s="22"/>
      <c r="G292" s="360"/>
      <c r="H292" s="360"/>
      <c r="I292" s="360"/>
      <c r="J292" s="360"/>
      <c r="K292" s="361"/>
      <c r="L292" s="361"/>
      <c r="M292" s="1366"/>
      <c r="N292" s="1366"/>
      <c r="O292" s="1366"/>
      <c r="P292" s="1367"/>
    </row>
    <row r="293" spans="2:16" s="146" customFormat="1" ht="18" customHeight="1" x14ac:dyDescent="0.25">
      <c r="C293" s="20" t="s">
        <v>34</v>
      </c>
      <c r="D293" s="1052" t="s">
        <v>35</v>
      </c>
      <c r="E293" s="1053"/>
      <c r="F293" s="1053"/>
      <c r="G293" s="1053"/>
      <c r="H293" s="1053"/>
      <c r="I293" s="1053"/>
      <c r="J293" s="1053"/>
      <c r="K293" s="1053"/>
      <c r="L293" s="1053"/>
      <c r="M293" s="1054"/>
      <c r="N293" s="145" t="s">
        <v>0</v>
      </c>
      <c r="O293" s="1107" t="s">
        <v>4</v>
      </c>
      <c r="P293" s="1108"/>
    </row>
    <row r="294" spans="2:16" s="146" customFormat="1" ht="69.95" customHeight="1" thickBot="1" x14ac:dyDescent="0.3">
      <c r="C294" s="85" t="s">
        <v>54</v>
      </c>
      <c r="D294" s="1070" t="str">
        <f>VLOOKUP(C294,'BM DETALHADO'!$B$13:$D$126,2,FALSE)</f>
        <v>MONTAGEM DE ANDAIME FACHADEIRO</v>
      </c>
      <c r="E294" s="1071"/>
      <c r="F294" s="1071"/>
      <c r="G294" s="1071"/>
      <c r="H294" s="1071"/>
      <c r="I294" s="1071"/>
      <c r="J294" s="1071"/>
      <c r="K294" s="1071"/>
      <c r="L294" s="1071"/>
      <c r="M294" s="1072"/>
      <c r="N294" s="19" t="str">
        <f>VLOOKUP(C294,'BM DETALHADO'!$B$13:$D$126,3,FALSE)</f>
        <v>M2</v>
      </c>
      <c r="O294" s="1109"/>
      <c r="P294" s="1110"/>
    </row>
    <row r="295" spans="2:16" s="146" customFormat="1" ht="9.9499999999999993" customHeight="1" x14ac:dyDescent="0.25">
      <c r="C295" s="77"/>
      <c r="D295" s="78"/>
      <c r="E295" s="79"/>
      <c r="F295" s="79"/>
      <c r="G295" s="79"/>
      <c r="H295" s="79"/>
      <c r="I295" s="79"/>
      <c r="J295" s="79"/>
      <c r="K295" s="79"/>
      <c r="L295" s="79"/>
      <c r="M295" s="79"/>
      <c r="N295" s="79"/>
      <c r="O295" s="91"/>
      <c r="P295" s="92"/>
    </row>
    <row r="296" spans="2:16" s="146" customFormat="1" ht="18" customHeight="1" x14ac:dyDescent="0.25">
      <c r="C296" s="202"/>
      <c r="D296" s="1300" t="s">
        <v>302</v>
      </c>
      <c r="E296" s="1300"/>
      <c r="F296" s="1300"/>
      <c r="G296" s="1300">
        <v>9</v>
      </c>
      <c r="H296" s="1300"/>
      <c r="I296" s="376" t="s">
        <v>298</v>
      </c>
      <c r="J296" s="383"/>
      <c r="K296" s="390"/>
      <c r="L296" s="383"/>
      <c r="M296" s="233"/>
      <c r="N296" s="233"/>
      <c r="O296" s="233"/>
      <c r="P296" s="234"/>
    </row>
    <row r="297" spans="2:16" s="146" customFormat="1" ht="18" customHeight="1" x14ac:dyDescent="0.25">
      <c r="C297" s="202"/>
      <c r="D297" s="1061" t="s">
        <v>304</v>
      </c>
      <c r="E297" s="1061"/>
      <c r="F297" s="1061"/>
      <c r="G297" s="1061">
        <v>1147</v>
      </c>
      <c r="H297" s="1061"/>
      <c r="I297" s="393" t="s">
        <v>292</v>
      </c>
      <c r="J297" s="284"/>
      <c r="K297" s="284"/>
      <c r="L297" s="284"/>
      <c r="M297" s="233"/>
      <c r="N297" s="233"/>
      <c r="O297" s="233"/>
      <c r="P297" s="234"/>
    </row>
    <row r="298" spans="2:16" s="146" customFormat="1" ht="18" customHeight="1" x14ac:dyDescent="0.25">
      <c r="C298" s="202"/>
      <c r="D298" s="1298" t="s">
        <v>303</v>
      </c>
      <c r="E298" s="1298"/>
      <c r="F298" s="1298"/>
      <c r="G298" s="1331">
        <f>G297/G296</f>
        <v>127.44444444444444</v>
      </c>
      <c r="H298" s="1331"/>
      <c r="I298" s="395" t="s">
        <v>292</v>
      </c>
      <c r="J298" s="379"/>
      <c r="K298" s="379"/>
      <c r="L298" s="399"/>
      <c r="M298" s="233"/>
      <c r="N298" s="233"/>
      <c r="O298" s="233"/>
      <c r="P298" s="234"/>
    </row>
    <row r="299" spans="2:16" s="146" customFormat="1" ht="18" customHeight="1" x14ac:dyDescent="0.25">
      <c r="C299" s="202"/>
      <c r="D299" s="377"/>
      <c r="E299" s="377"/>
      <c r="F299" s="285"/>
      <c r="G299" s="283"/>
      <c r="H299" s="283"/>
      <c r="I299" s="379"/>
      <c r="J299" s="379"/>
      <c r="K299" s="379"/>
      <c r="L299" s="378"/>
      <c r="M299" s="233"/>
      <c r="N299" s="233"/>
      <c r="O299" s="233"/>
      <c r="P299" s="234"/>
    </row>
    <row r="300" spans="2:16" s="146" customFormat="1" ht="18" customHeight="1" x14ac:dyDescent="0.25">
      <c r="C300" s="202"/>
      <c r="D300" s="1113" t="s">
        <v>316</v>
      </c>
      <c r="E300" s="1113"/>
      <c r="F300" s="1113"/>
      <c r="G300" s="1113"/>
      <c r="H300" s="1113"/>
      <c r="I300" s="1113"/>
      <c r="J300" s="397" t="s">
        <v>290</v>
      </c>
      <c r="K300" s="398">
        <f>G298</f>
        <v>127.44444444444444</v>
      </c>
      <c r="L300" s="283" t="s">
        <v>292</v>
      </c>
      <c r="M300" s="233"/>
      <c r="N300" s="233"/>
      <c r="O300" s="233"/>
      <c r="P300" s="234"/>
    </row>
    <row r="301" spans="2:16" s="146" customFormat="1" ht="18" customHeight="1" x14ac:dyDescent="0.25">
      <c r="C301" s="202"/>
      <c r="D301" s="1113" t="s">
        <v>318</v>
      </c>
      <c r="E301" s="1113"/>
      <c r="F301" s="1113"/>
      <c r="G301" s="1113"/>
      <c r="H301" s="1113"/>
      <c r="I301" s="1113"/>
      <c r="J301" s="397" t="s">
        <v>290</v>
      </c>
      <c r="K301" s="398">
        <f>G298</f>
        <v>127.44444444444444</v>
      </c>
      <c r="L301" s="283" t="s">
        <v>292</v>
      </c>
      <c r="M301" s="233"/>
      <c r="N301" s="233"/>
      <c r="O301" s="233"/>
      <c r="P301" s="234"/>
    </row>
    <row r="302" spans="2:16" s="146" customFormat="1" ht="18" customHeight="1" x14ac:dyDescent="0.25">
      <c r="C302" s="202"/>
      <c r="D302" s="1113" t="s">
        <v>317</v>
      </c>
      <c r="E302" s="1113"/>
      <c r="F302" s="1113"/>
      <c r="G302" s="1113"/>
      <c r="H302" s="1113"/>
      <c r="I302" s="1113"/>
      <c r="J302" s="397" t="s">
        <v>290</v>
      </c>
      <c r="K302" s="398">
        <v>382.33</v>
      </c>
      <c r="L302" s="283" t="s">
        <v>292</v>
      </c>
      <c r="M302" s="233"/>
      <c r="N302" s="233"/>
      <c r="O302" s="233"/>
      <c r="P302" s="234"/>
    </row>
    <row r="303" spans="2:16" s="146" customFormat="1" ht="18" customHeight="1" x14ac:dyDescent="0.25">
      <c r="C303" s="202"/>
      <c r="D303" s="1271" t="s">
        <v>347</v>
      </c>
      <c r="E303" s="1271"/>
      <c r="F303" s="1271"/>
      <c r="G303" s="1271"/>
      <c r="H303" s="1271"/>
      <c r="I303" s="1271"/>
      <c r="J303" s="284" t="s">
        <v>290</v>
      </c>
      <c r="K303" s="285">
        <f>127.44</f>
        <v>127.44</v>
      </c>
      <c r="L303" s="283" t="s">
        <v>292</v>
      </c>
      <c r="M303" s="233"/>
      <c r="N303" s="233"/>
      <c r="O303" s="233"/>
      <c r="P303" s="234"/>
    </row>
    <row r="304" spans="2:16" s="146" customFormat="1" ht="18" customHeight="1" x14ac:dyDescent="0.25">
      <c r="C304" s="202"/>
      <c r="D304" s="1271" t="s">
        <v>341</v>
      </c>
      <c r="E304" s="1271"/>
      <c r="F304" s="1271"/>
      <c r="G304" s="1271"/>
      <c r="H304" s="1271"/>
      <c r="I304" s="1271"/>
      <c r="J304" s="475" t="s">
        <v>290</v>
      </c>
      <c r="K304" s="487">
        <f>G298</f>
        <v>127.44444444444444</v>
      </c>
      <c r="L304" s="283" t="s">
        <v>292</v>
      </c>
      <c r="M304" s="233"/>
      <c r="N304" s="233"/>
      <c r="O304" s="233"/>
      <c r="P304" s="234"/>
    </row>
    <row r="305" spans="2:16" s="146" customFormat="1" ht="18" customHeight="1" x14ac:dyDescent="0.25">
      <c r="C305" s="202"/>
      <c r="D305" s="1271" t="s">
        <v>384</v>
      </c>
      <c r="E305" s="1271"/>
      <c r="F305" s="1271"/>
      <c r="G305" s="1271"/>
      <c r="H305" s="1271"/>
      <c r="I305" s="1271"/>
      <c r="J305" s="589" t="s">
        <v>290</v>
      </c>
      <c r="K305" s="487">
        <f>G298</f>
        <v>127.44444444444444</v>
      </c>
      <c r="L305" s="283" t="s">
        <v>292</v>
      </c>
      <c r="M305" s="233"/>
      <c r="N305" s="233"/>
      <c r="O305" s="233"/>
      <c r="P305" s="234"/>
    </row>
    <row r="306" spans="2:16" s="146" customFormat="1" ht="18" customHeight="1" x14ac:dyDescent="0.25">
      <c r="C306" s="202"/>
      <c r="D306" s="1271" t="s">
        <v>399</v>
      </c>
      <c r="E306" s="1271"/>
      <c r="F306" s="1271"/>
      <c r="G306" s="1271"/>
      <c r="H306" s="1271"/>
      <c r="I306" s="1271"/>
      <c r="J306" s="693" t="s">
        <v>290</v>
      </c>
      <c r="K306" s="487">
        <f>G298</f>
        <v>127.44444444444444</v>
      </c>
      <c r="L306" s="283" t="s">
        <v>292</v>
      </c>
      <c r="M306" s="1115" t="s">
        <v>437</v>
      </c>
      <c r="N306" s="1115"/>
      <c r="O306" s="1115"/>
      <c r="P306" s="1116"/>
    </row>
    <row r="307" spans="2:16" s="146" customFormat="1" ht="18" customHeight="1" x14ac:dyDescent="0.25">
      <c r="C307" s="202"/>
      <c r="D307" s="1114" t="s">
        <v>436</v>
      </c>
      <c r="E307" s="1114"/>
      <c r="F307" s="1114"/>
      <c r="G307" s="1114"/>
      <c r="H307" s="1114"/>
      <c r="I307" s="1114"/>
      <c r="J307" s="678" t="s">
        <v>290</v>
      </c>
      <c r="K307" s="400">
        <f>G298</f>
        <v>127.44444444444444</v>
      </c>
      <c r="L307" s="366" t="s">
        <v>292</v>
      </c>
      <c r="M307" s="1115"/>
      <c r="N307" s="1115"/>
      <c r="O307" s="1115"/>
      <c r="P307" s="1116"/>
    </row>
    <row r="308" spans="2:16" s="146" customFormat="1" ht="9.9499999999999993" customHeight="1" thickBot="1" x14ac:dyDescent="0.3">
      <c r="C308" s="202"/>
      <c r="D308" s="233"/>
      <c r="E308" s="233"/>
      <c r="F308" s="233"/>
      <c r="G308" s="233"/>
      <c r="H308" s="233"/>
      <c r="I308" s="233"/>
      <c r="J308" s="233"/>
      <c r="K308" s="233"/>
      <c r="L308" s="233"/>
      <c r="M308" s="1115"/>
      <c r="N308" s="1115"/>
      <c r="O308" s="1115"/>
      <c r="P308" s="1116"/>
    </row>
    <row r="309" spans="2:16" s="146" customFormat="1" ht="18" customHeight="1" x14ac:dyDescent="0.25">
      <c r="B309" s="31" t="s">
        <v>34</v>
      </c>
      <c r="C309" s="202"/>
      <c r="D309" s="233"/>
      <c r="E309" s="233"/>
      <c r="F309" s="233"/>
      <c r="G309" s="1041" t="s">
        <v>343</v>
      </c>
      <c r="H309" s="1042"/>
      <c r="I309" s="1042"/>
      <c r="J309" s="1043"/>
      <c r="K309" s="1085">
        <f>'[27]MEMÓRIA DE CÁLCULO'!$K$310</f>
        <v>1146.9978333333333</v>
      </c>
      <c r="L309" s="1086"/>
      <c r="M309" s="1115"/>
      <c r="N309" s="1115"/>
      <c r="O309" s="1115"/>
      <c r="P309" s="1116"/>
    </row>
    <row r="310" spans="2:16" s="146" customFormat="1" ht="18" customHeight="1" x14ac:dyDescent="0.25">
      <c r="B310" s="31" t="str">
        <f>C294</f>
        <v>1.17</v>
      </c>
      <c r="C310" s="202"/>
      <c r="D310" s="233"/>
      <c r="E310" s="233"/>
      <c r="F310" s="233"/>
      <c r="G310" s="1082" t="s">
        <v>344</v>
      </c>
      <c r="H310" s="1083"/>
      <c r="I310" s="1083"/>
      <c r="J310" s="1084"/>
      <c r="K310" s="1075">
        <f>K309+O294</f>
        <v>1146.9978333333333</v>
      </c>
      <c r="L310" s="1076"/>
      <c r="M310" s="1115"/>
      <c r="N310" s="1115"/>
      <c r="O310" s="1115"/>
      <c r="P310" s="1116"/>
    </row>
    <row r="311" spans="2:16" s="146" customFormat="1" ht="18" customHeight="1" x14ac:dyDescent="0.25">
      <c r="C311" s="202"/>
      <c r="D311" s="233"/>
      <c r="E311" s="233"/>
      <c r="F311" s="233"/>
      <c r="G311" s="1082" t="s">
        <v>345</v>
      </c>
      <c r="H311" s="1083"/>
      <c r="I311" s="1083"/>
      <c r="J311" s="1084"/>
      <c r="K311" s="1075">
        <f>VLOOKUP(C294,'[26]BM DETALHADO'!$B$13:$E$126,4,FALSE)</f>
        <v>1147</v>
      </c>
      <c r="L311" s="1076"/>
      <c r="M311" s="1115"/>
      <c r="N311" s="1115"/>
      <c r="O311" s="1115"/>
      <c r="P311" s="1116"/>
    </row>
    <row r="312" spans="2:16" s="146" customFormat="1" ht="18" customHeight="1" thickBot="1" x14ac:dyDescent="0.3">
      <c r="C312" s="202"/>
      <c r="D312" s="233"/>
      <c r="E312" s="233"/>
      <c r="F312" s="233"/>
      <c r="G312" s="1077" t="s">
        <v>346</v>
      </c>
      <c r="H312" s="1078"/>
      <c r="I312" s="1078"/>
      <c r="J312" s="1079"/>
      <c r="K312" s="1068">
        <f>K311-K310</f>
        <v>2.1666666666533274E-3</v>
      </c>
      <c r="L312" s="1069"/>
      <c r="M312" s="1115"/>
      <c r="N312" s="1115"/>
      <c r="O312" s="1115"/>
      <c r="P312" s="1116"/>
    </row>
    <row r="313" spans="2:16" s="146" customFormat="1" ht="9.9499999999999993" customHeight="1" thickBot="1" x14ac:dyDescent="0.3">
      <c r="C313" s="21"/>
      <c r="D313" s="22"/>
      <c r="E313" s="22"/>
      <c r="F313" s="22"/>
      <c r="G313" s="27"/>
      <c r="H313" s="27"/>
      <c r="I313" s="27"/>
      <c r="J313" s="27"/>
      <c r="K313" s="28"/>
      <c r="L313" s="28"/>
      <c r="M313" s="22"/>
      <c r="N313" s="22"/>
      <c r="O313" s="100"/>
      <c r="P313" s="101"/>
    </row>
    <row r="314" spans="2:16" s="146" customFormat="1" ht="18" customHeight="1" x14ac:dyDescent="0.25">
      <c r="C314" s="20" t="s">
        <v>34</v>
      </c>
      <c r="D314" s="1052" t="s">
        <v>35</v>
      </c>
      <c r="E314" s="1053"/>
      <c r="F314" s="1053"/>
      <c r="G314" s="1053"/>
      <c r="H314" s="1053"/>
      <c r="I314" s="1053"/>
      <c r="J314" s="1053"/>
      <c r="K314" s="1053"/>
      <c r="L314" s="1053"/>
      <c r="M314" s="1054"/>
      <c r="N314" s="145" t="s">
        <v>0</v>
      </c>
      <c r="O314" s="1107" t="s">
        <v>4</v>
      </c>
      <c r="P314" s="1108"/>
    </row>
    <row r="315" spans="2:16" s="146" customFormat="1" ht="69.95" customHeight="1" thickBot="1" x14ac:dyDescent="0.3">
      <c r="C315" s="85" t="s">
        <v>55</v>
      </c>
      <c r="D315" s="1070" t="str">
        <f>VLOOKUP(C315,'BM DETALHADO'!$B$13:$D$126,2,FALSE)</f>
        <v>DESMONTAGEM DE ANDAIME FACHADEIRO</v>
      </c>
      <c r="E315" s="1071"/>
      <c r="F315" s="1071"/>
      <c r="G315" s="1071"/>
      <c r="H315" s="1071"/>
      <c r="I315" s="1071"/>
      <c r="J315" s="1071"/>
      <c r="K315" s="1071"/>
      <c r="L315" s="1071"/>
      <c r="M315" s="1072"/>
      <c r="N315" s="19" t="str">
        <f>VLOOKUP(C315,'BM DETALHADO'!$B$13:$D$126,3,FALSE)</f>
        <v>M2</v>
      </c>
      <c r="O315" s="1109">
        <v>127.44</v>
      </c>
      <c r="P315" s="1110"/>
    </row>
    <row r="316" spans="2:16" s="146" customFormat="1" ht="9.9499999999999993" customHeight="1" x14ac:dyDescent="0.25">
      <c r="C316" s="77"/>
      <c r="D316" s="78"/>
      <c r="E316" s="79"/>
      <c r="F316" s="79"/>
      <c r="G316" s="79"/>
      <c r="H316" s="79"/>
      <c r="I316" s="79"/>
      <c r="J316" s="79"/>
      <c r="K316" s="79"/>
      <c r="L316" s="79"/>
      <c r="M316" s="79"/>
      <c r="N316" s="79"/>
      <c r="O316" s="91"/>
      <c r="P316" s="92"/>
    </row>
    <row r="317" spans="2:16" s="146" customFormat="1" ht="18" customHeight="1" x14ac:dyDescent="0.25">
      <c r="C317" s="336"/>
      <c r="D317" s="1300" t="s">
        <v>302</v>
      </c>
      <c r="E317" s="1300"/>
      <c r="F317" s="1300"/>
      <c r="G317" s="1300">
        <v>9</v>
      </c>
      <c r="H317" s="1300"/>
      <c r="I317" s="376" t="s">
        <v>298</v>
      </c>
      <c r="J317" s="383"/>
      <c r="K317" s="390"/>
      <c r="L317" s="383"/>
      <c r="M317" s="169"/>
      <c r="N317" s="169"/>
      <c r="O317" s="343"/>
      <c r="P317" s="93"/>
    </row>
    <row r="318" spans="2:16" s="146" customFormat="1" ht="18" customHeight="1" x14ac:dyDescent="0.25">
      <c r="C318" s="336"/>
      <c r="D318" s="1061" t="s">
        <v>304</v>
      </c>
      <c r="E318" s="1061"/>
      <c r="F318" s="1061"/>
      <c r="G318" s="1061">
        <v>1147</v>
      </c>
      <c r="H318" s="1061"/>
      <c r="I318" s="393" t="s">
        <v>292</v>
      </c>
      <c r="J318" s="284"/>
      <c r="K318" s="284"/>
      <c r="L318" s="284"/>
      <c r="M318" s="330"/>
      <c r="N318" s="330"/>
      <c r="O318" s="94"/>
      <c r="P318" s="93"/>
    </row>
    <row r="319" spans="2:16" s="146" customFormat="1" ht="18" customHeight="1" x14ac:dyDescent="0.25">
      <c r="C319" s="202"/>
      <c r="D319" s="1298" t="s">
        <v>303</v>
      </c>
      <c r="E319" s="1298"/>
      <c r="F319" s="1298"/>
      <c r="G319" s="1331">
        <f>G318/G317</f>
        <v>127.44444444444444</v>
      </c>
      <c r="H319" s="1331"/>
      <c r="I319" s="395" t="s">
        <v>292</v>
      </c>
      <c r="J319" s="379"/>
      <c r="K319" s="379"/>
      <c r="L319" s="399"/>
      <c r="M319" s="169"/>
      <c r="N319" s="169"/>
      <c r="O319" s="169"/>
      <c r="P319" s="93"/>
    </row>
    <row r="320" spans="2:16" s="146" customFormat="1" ht="18" customHeight="1" x14ac:dyDescent="0.25">
      <c r="C320" s="202"/>
      <c r="D320" s="377"/>
      <c r="E320" s="377"/>
      <c r="F320" s="285"/>
      <c r="G320" s="283"/>
      <c r="H320" s="283"/>
      <c r="I320" s="379"/>
      <c r="J320" s="379"/>
      <c r="K320" s="379"/>
      <c r="L320" s="378"/>
      <c r="M320" s="169"/>
      <c r="N320" s="169"/>
      <c r="O320" s="169"/>
      <c r="P320" s="93"/>
    </row>
    <row r="321" spans="2:16" s="146" customFormat="1" ht="18" customHeight="1" x14ac:dyDescent="0.25">
      <c r="C321" s="202"/>
      <c r="D321" s="1113" t="s">
        <v>316</v>
      </c>
      <c r="E321" s="1113"/>
      <c r="F321" s="1113"/>
      <c r="G321" s="1113"/>
      <c r="H321" s="1113"/>
      <c r="I321" s="1113"/>
      <c r="J321" s="397" t="s">
        <v>290</v>
      </c>
      <c r="K321" s="398">
        <f>G319</f>
        <v>127.44444444444444</v>
      </c>
      <c r="L321" s="283" t="s">
        <v>292</v>
      </c>
      <c r="M321" s="185"/>
      <c r="N321" s="169"/>
      <c r="O321" s="169"/>
      <c r="P321" s="93"/>
    </row>
    <row r="322" spans="2:16" s="146" customFormat="1" ht="18" customHeight="1" x14ac:dyDescent="0.25">
      <c r="C322" s="202"/>
      <c r="D322" s="1113" t="s">
        <v>318</v>
      </c>
      <c r="E322" s="1113"/>
      <c r="F322" s="1113"/>
      <c r="G322" s="1113"/>
      <c r="H322" s="1113"/>
      <c r="I322" s="1113"/>
      <c r="J322" s="397" t="s">
        <v>290</v>
      </c>
      <c r="K322" s="398">
        <f>G319</f>
        <v>127.44444444444444</v>
      </c>
      <c r="L322" s="283" t="s">
        <v>292</v>
      </c>
      <c r="M322" s="169"/>
      <c r="N322" s="169"/>
      <c r="O322" s="169"/>
      <c r="P322" s="93"/>
    </row>
    <row r="323" spans="2:16" s="146" customFormat="1" ht="18" customHeight="1" x14ac:dyDescent="0.25">
      <c r="C323" s="202"/>
      <c r="D323" s="1113" t="s">
        <v>338</v>
      </c>
      <c r="E323" s="1113"/>
      <c r="F323" s="1113"/>
      <c r="G323" s="1113"/>
      <c r="H323" s="1113"/>
      <c r="I323" s="1113"/>
      <c r="J323" s="397" t="s">
        <v>290</v>
      </c>
      <c r="K323" s="398">
        <v>254.89</v>
      </c>
      <c r="L323" s="283" t="s">
        <v>292</v>
      </c>
      <c r="M323" s="169"/>
      <c r="N323" s="169"/>
      <c r="O323" s="169"/>
      <c r="P323" s="93"/>
    </row>
    <row r="324" spans="2:16" s="146" customFormat="1" ht="18" customHeight="1" x14ac:dyDescent="0.25">
      <c r="C324" s="80"/>
      <c r="D324" s="1271" t="s">
        <v>347</v>
      </c>
      <c r="E324" s="1271"/>
      <c r="F324" s="1271"/>
      <c r="G324" s="1271"/>
      <c r="H324" s="1271"/>
      <c r="I324" s="1271"/>
      <c r="J324" s="284" t="s">
        <v>290</v>
      </c>
      <c r="K324" s="285">
        <v>127.44</v>
      </c>
      <c r="L324" s="283" t="s">
        <v>292</v>
      </c>
      <c r="M324" s="330"/>
      <c r="N324" s="330"/>
      <c r="O324" s="94"/>
      <c r="P324" s="93"/>
    </row>
    <row r="325" spans="2:16" s="146" customFormat="1" ht="18" customHeight="1" x14ac:dyDescent="0.25">
      <c r="C325" s="80"/>
      <c r="D325" s="1271" t="s">
        <v>341</v>
      </c>
      <c r="E325" s="1271"/>
      <c r="F325" s="1271"/>
      <c r="G325" s="1271"/>
      <c r="H325" s="1271"/>
      <c r="I325" s="1271"/>
      <c r="J325" s="475" t="s">
        <v>290</v>
      </c>
      <c r="K325" s="192">
        <f>G319</f>
        <v>127.44444444444444</v>
      </c>
      <c r="L325" s="283" t="s">
        <v>292</v>
      </c>
      <c r="M325" s="181"/>
      <c r="N325" s="182"/>
      <c r="O325" s="95"/>
      <c r="P325" s="93"/>
    </row>
    <row r="326" spans="2:16" s="146" customFormat="1" ht="18" customHeight="1" x14ac:dyDescent="0.25">
      <c r="C326" s="80"/>
      <c r="D326" s="1271" t="s">
        <v>384</v>
      </c>
      <c r="E326" s="1271"/>
      <c r="F326" s="1271"/>
      <c r="G326" s="1271"/>
      <c r="H326" s="1271"/>
      <c r="I326" s="1271"/>
      <c r="J326" s="589" t="s">
        <v>290</v>
      </c>
      <c r="K326" s="192">
        <f>G319</f>
        <v>127.44444444444444</v>
      </c>
      <c r="L326" s="283" t="s">
        <v>292</v>
      </c>
      <c r="M326" s="332"/>
      <c r="N326" s="328"/>
      <c r="O326" s="95"/>
      <c r="P326" s="93"/>
    </row>
    <row r="327" spans="2:16" s="526" customFormat="1" ht="18" customHeight="1" x14ac:dyDescent="0.25">
      <c r="C327" s="80"/>
      <c r="D327" s="1271" t="s">
        <v>399</v>
      </c>
      <c r="E327" s="1271"/>
      <c r="F327" s="1271"/>
      <c r="G327" s="1271"/>
      <c r="H327" s="1271"/>
      <c r="I327" s="1271"/>
      <c r="J327" s="693" t="s">
        <v>290</v>
      </c>
      <c r="K327" s="192">
        <f>G319</f>
        <v>127.44444444444444</v>
      </c>
      <c r="L327" s="283" t="s">
        <v>292</v>
      </c>
      <c r="M327" s="532"/>
      <c r="N327" s="527"/>
      <c r="O327" s="95"/>
      <c r="P327" s="93"/>
    </row>
    <row r="328" spans="2:16" s="526" customFormat="1" ht="18" customHeight="1" x14ac:dyDescent="0.25">
      <c r="C328" s="80"/>
      <c r="D328" s="1114" t="s">
        <v>436</v>
      </c>
      <c r="E328" s="1114"/>
      <c r="F328" s="1114"/>
      <c r="G328" s="1114"/>
      <c r="H328" s="1114"/>
      <c r="I328" s="1114"/>
      <c r="J328" s="678" t="s">
        <v>290</v>
      </c>
      <c r="K328" s="208">
        <f>G319</f>
        <v>127.44444444444444</v>
      </c>
      <c r="L328" s="366" t="s">
        <v>292</v>
      </c>
      <c r="M328" s="532"/>
      <c r="N328" s="527"/>
      <c r="O328" s="95"/>
      <c r="P328" s="93"/>
    </row>
    <row r="329" spans="2:16" s="146" customFormat="1" ht="18" customHeight="1" x14ac:dyDescent="0.25">
      <c r="C329" s="80"/>
      <c r="D329" s="331"/>
      <c r="E329" s="331"/>
      <c r="F329" s="331"/>
      <c r="G329" s="331"/>
      <c r="H329" s="331"/>
      <c r="I329" s="331"/>
      <c r="J329" s="331"/>
      <c r="K329" s="331"/>
      <c r="L329" s="328"/>
      <c r="M329" s="332"/>
      <c r="N329" s="328"/>
      <c r="O329" s="95"/>
      <c r="P329" s="93"/>
    </row>
    <row r="330" spans="2:16" s="577" customFormat="1" ht="18" customHeight="1" x14ac:dyDescent="0.25">
      <c r="C330" s="80"/>
      <c r="D330" s="582"/>
      <c r="E330" s="582"/>
      <c r="F330" s="582"/>
      <c r="G330" s="582"/>
      <c r="H330" s="582"/>
      <c r="I330" s="582"/>
      <c r="J330" s="582"/>
      <c r="K330" s="582"/>
      <c r="L330" s="578"/>
      <c r="M330" s="581"/>
      <c r="N330" s="578"/>
      <c r="O330" s="95"/>
      <c r="P330" s="93"/>
    </row>
    <row r="331" spans="2:16" s="146" customFormat="1" ht="18" customHeight="1" x14ac:dyDescent="0.25">
      <c r="C331" s="80"/>
      <c r="D331" s="331"/>
      <c r="E331" s="331"/>
      <c r="F331" s="331"/>
      <c r="G331" s="331"/>
      <c r="H331" s="331"/>
      <c r="I331" s="331"/>
      <c r="J331" s="331"/>
      <c r="K331" s="331"/>
      <c r="L331" s="328"/>
      <c r="M331" s="332"/>
      <c r="N331" s="328"/>
      <c r="O331" s="95"/>
      <c r="P331" s="93"/>
    </row>
    <row r="332" spans="2:16" s="146" customFormat="1" ht="9.9499999999999993" customHeight="1" thickBot="1" x14ac:dyDescent="0.3">
      <c r="C332" s="80"/>
      <c r="D332" s="81"/>
      <c r="E332" s="81"/>
      <c r="F332" s="81"/>
      <c r="G332" s="81"/>
      <c r="H332" s="81"/>
      <c r="I332" s="81"/>
      <c r="J332" s="81"/>
      <c r="K332" s="81"/>
      <c r="L332" s="81"/>
      <c r="M332" s="81"/>
      <c r="N332" s="81"/>
      <c r="O332" s="96"/>
      <c r="P332" s="97"/>
    </row>
    <row r="333" spans="2:16" s="146" customFormat="1" ht="18" customHeight="1" x14ac:dyDescent="0.25">
      <c r="B333" s="31" t="s">
        <v>34</v>
      </c>
      <c r="C333" s="29"/>
      <c r="E333" s="30"/>
      <c r="F333" s="30"/>
      <c r="G333" s="1041" t="s">
        <v>343</v>
      </c>
      <c r="H333" s="1042"/>
      <c r="I333" s="1042"/>
      <c r="J333" s="1043"/>
      <c r="K333" s="1085">
        <f>'[27]MEMÓRIA DE CÁLCULO'!$K$334</f>
        <v>892.10777777777776</v>
      </c>
      <c r="L333" s="1086"/>
      <c r="M333" s="18"/>
      <c r="N333" s="18"/>
      <c r="O333" s="98"/>
      <c r="P333" s="99"/>
    </row>
    <row r="334" spans="2:16" s="146" customFormat="1" ht="18" customHeight="1" x14ac:dyDescent="0.25">
      <c r="B334" s="31" t="str">
        <f>C315</f>
        <v>1.18</v>
      </c>
      <c r="C334" s="29"/>
      <c r="E334" s="30"/>
      <c r="F334" s="30"/>
      <c r="G334" s="1082" t="s">
        <v>344</v>
      </c>
      <c r="H334" s="1083"/>
      <c r="I334" s="1083"/>
      <c r="J334" s="1084"/>
      <c r="K334" s="1075">
        <f>K333+O315</f>
        <v>1019.5477777777778</v>
      </c>
      <c r="L334" s="1076"/>
      <c r="M334" s="18"/>
      <c r="N334" s="18"/>
      <c r="O334" s="98"/>
      <c r="P334" s="99"/>
    </row>
    <row r="335" spans="2:16" s="146" customFormat="1" ht="18" customHeight="1" x14ac:dyDescent="0.25">
      <c r="C335" s="29"/>
      <c r="D335" s="30"/>
      <c r="E335" s="30"/>
      <c r="F335" s="30"/>
      <c r="G335" s="1082" t="s">
        <v>345</v>
      </c>
      <c r="H335" s="1083"/>
      <c r="I335" s="1083"/>
      <c r="J335" s="1084"/>
      <c r="K335" s="1075">
        <f>VLOOKUP(C315,'[26]BM DETALHADO'!$B$13:$E$126,4,FALSE)</f>
        <v>1147</v>
      </c>
      <c r="L335" s="1076"/>
      <c r="M335" s="18"/>
      <c r="N335" s="18"/>
      <c r="O335" s="98"/>
      <c r="P335" s="99"/>
    </row>
    <row r="336" spans="2:16" s="146" customFormat="1" ht="18" customHeight="1" thickBot="1" x14ac:dyDescent="0.3">
      <c r="C336" s="29"/>
      <c r="D336" s="30"/>
      <c r="E336" s="30"/>
      <c r="F336" s="30"/>
      <c r="G336" s="1077" t="s">
        <v>346</v>
      </c>
      <c r="H336" s="1078"/>
      <c r="I336" s="1078"/>
      <c r="J336" s="1079"/>
      <c r="K336" s="1068">
        <f>K335-K334</f>
        <v>127.45222222222219</v>
      </c>
      <c r="L336" s="1069"/>
      <c r="M336" s="18"/>
      <c r="N336" s="18"/>
      <c r="O336" s="98"/>
      <c r="P336" s="99"/>
    </row>
    <row r="337" spans="3:16" s="146" customFormat="1" ht="9.9499999999999993" customHeight="1" thickBot="1" x14ac:dyDescent="0.3">
      <c r="C337" s="21"/>
      <c r="D337" s="22"/>
      <c r="E337" s="22"/>
      <c r="F337" s="22"/>
      <c r="G337" s="360"/>
      <c r="H337" s="360"/>
      <c r="I337" s="360"/>
      <c r="J337" s="360"/>
      <c r="K337" s="361"/>
      <c r="L337" s="361"/>
      <c r="M337" s="22"/>
      <c r="N337" s="22"/>
      <c r="O337" s="100"/>
      <c r="P337" s="101"/>
    </row>
    <row r="338" spans="3:16" s="146" customFormat="1" ht="18" hidden="1" customHeight="1" x14ac:dyDescent="0.25">
      <c r="C338" s="20" t="s">
        <v>34</v>
      </c>
      <c r="D338" s="1052" t="s">
        <v>35</v>
      </c>
      <c r="E338" s="1053"/>
      <c r="F338" s="1053"/>
      <c r="G338" s="1053"/>
      <c r="H338" s="1053"/>
      <c r="I338" s="1053"/>
      <c r="J338" s="1053"/>
      <c r="K338" s="1053"/>
      <c r="L338" s="1053"/>
      <c r="M338" s="1054"/>
      <c r="N338" s="145" t="s">
        <v>0</v>
      </c>
      <c r="O338" s="1107" t="s">
        <v>4</v>
      </c>
      <c r="P338" s="1108"/>
    </row>
    <row r="339" spans="3:16" s="146" customFormat="1" ht="69.95" hidden="1" customHeight="1" thickBot="1" x14ac:dyDescent="0.3">
      <c r="C339" s="85" t="s">
        <v>56</v>
      </c>
      <c r="D339" s="1070" t="str">
        <f>VLOOKUP(C339,'BM DETALHADO'!$B$13:$D$126,2,FALSE)</f>
        <v>TAXAS ( CREA, CAU, etc)</v>
      </c>
      <c r="E339" s="1071"/>
      <c r="F339" s="1071"/>
      <c r="G339" s="1071"/>
      <c r="H339" s="1071"/>
      <c r="I339" s="1071"/>
      <c r="J339" s="1071"/>
      <c r="K339" s="1071"/>
      <c r="L339" s="1071"/>
      <c r="M339" s="1072"/>
      <c r="N339" s="19" t="str">
        <f>VLOOKUP(C339,'BM DETALHADO'!$B$13:$D$126,3,FALSE)</f>
        <v>UN</v>
      </c>
      <c r="O339" s="1109"/>
      <c r="P339" s="1110"/>
    </row>
    <row r="340" spans="3:16" s="146" customFormat="1" ht="9.9499999999999993" hidden="1" customHeight="1" x14ac:dyDescent="0.25">
      <c r="C340" s="77"/>
      <c r="D340" s="78"/>
      <c r="E340" s="79"/>
      <c r="F340" s="79"/>
      <c r="G340" s="79"/>
      <c r="H340" s="79"/>
      <c r="I340" s="79"/>
      <c r="J340" s="79"/>
      <c r="K340" s="79"/>
      <c r="L340" s="79"/>
      <c r="M340" s="79"/>
      <c r="N340" s="79"/>
      <c r="O340" s="91"/>
      <c r="P340" s="92"/>
    </row>
    <row r="341" spans="3:16" s="146" customFormat="1" ht="18" hidden="1" customHeight="1" x14ac:dyDescent="0.25">
      <c r="C341" s="147"/>
      <c r="D341" s="1259"/>
      <c r="E341" s="1259"/>
      <c r="F341" s="1259"/>
      <c r="G341" s="179"/>
      <c r="H341" s="178"/>
      <c r="I341" s="176"/>
      <c r="J341" s="155"/>
      <c r="K341" s="154"/>
      <c r="L341" s="155"/>
      <c r="M341" s="1253"/>
      <c r="N341" s="1253"/>
      <c r="O341" s="148"/>
      <c r="P341" s="93"/>
    </row>
    <row r="342" spans="3:16" s="146" customFormat="1" ht="18" hidden="1" customHeight="1" x14ac:dyDescent="0.25">
      <c r="C342" s="147"/>
      <c r="D342" s="152"/>
      <c r="E342" s="152"/>
      <c r="F342" s="152"/>
      <c r="G342" s="152"/>
      <c r="H342" s="153"/>
      <c r="I342" s="153"/>
      <c r="J342" s="153"/>
      <c r="K342" s="153"/>
      <c r="L342" s="153"/>
      <c r="M342" s="153"/>
      <c r="N342" s="153"/>
      <c r="O342" s="94"/>
      <c r="P342" s="93"/>
    </row>
    <row r="343" spans="3:16" s="146" customFormat="1" ht="18" hidden="1" customHeight="1" x14ac:dyDescent="0.25">
      <c r="C343" s="1183"/>
      <c r="D343" s="1249"/>
      <c r="E343" s="1249"/>
      <c r="F343" s="1249"/>
      <c r="G343" s="1249"/>
      <c r="H343" s="1250"/>
      <c r="I343" s="1251"/>
      <c r="J343" s="1252"/>
      <c r="K343" s="1251"/>
      <c r="L343" s="1252"/>
      <c r="M343" s="1253"/>
      <c r="N343" s="1253"/>
      <c r="O343" s="1253"/>
      <c r="P343" s="93"/>
    </row>
    <row r="344" spans="3:16" s="146" customFormat="1" ht="18" hidden="1" customHeight="1" x14ac:dyDescent="0.25">
      <c r="C344" s="1183"/>
      <c r="D344" s="1249"/>
      <c r="E344" s="1249"/>
      <c r="F344" s="1249"/>
      <c r="G344" s="1249"/>
      <c r="H344" s="1250"/>
      <c r="I344" s="1251"/>
      <c r="J344" s="1252"/>
      <c r="K344" s="1251"/>
      <c r="L344" s="1252"/>
      <c r="M344" s="1253"/>
      <c r="N344" s="1253"/>
      <c r="O344" s="1253"/>
      <c r="P344" s="93"/>
    </row>
    <row r="345" spans="3:16" s="146" customFormat="1" ht="18" hidden="1" customHeight="1" x14ac:dyDescent="0.25">
      <c r="C345" s="1183"/>
      <c r="D345" s="1249"/>
      <c r="E345" s="1249"/>
      <c r="F345" s="1249"/>
      <c r="G345" s="1249"/>
      <c r="H345" s="1250"/>
      <c r="I345" s="1251"/>
      <c r="J345" s="1252"/>
      <c r="K345" s="1251"/>
      <c r="L345" s="1252"/>
      <c r="M345" s="1253"/>
      <c r="N345" s="1253"/>
      <c r="O345" s="1253"/>
      <c r="P345" s="93"/>
    </row>
    <row r="346" spans="3:16" s="146" customFormat="1" ht="18" hidden="1" customHeight="1" x14ac:dyDescent="0.25">
      <c r="C346" s="1183"/>
      <c r="D346" s="1249"/>
      <c r="E346" s="1249"/>
      <c r="F346" s="1249"/>
      <c r="G346" s="1249"/>
      <c r="H346" s="1250"/>
      <c r="I346" s="1251"/>
      <c r="J346" s="1252"/>
      <c r="K346" s="1251"/>
      <c r="L346" s="1252"/>
      <c r="M346" s="1253"/>
      <c r="N346" s="1253"/>
      <c r="O346" s="1253"/>
      <c r="P346" s="93"/>
    </row>
    <row r="347" spans="3:16" s="146" customFormat="1" ht="18" hidden="1" customHeight="1" x14ac:dyDescent="0.25">
      <c r="C347" s="1183"/>
      <c r="D347" s="1249"/>
      <c r="E347" s="1249"/>
      <c r="F347" s="1249"/>
      <c r="G347" s="1249"/>
      <c r="H347" s="1250"/>
      <c r="I347" s="1251"/>
      <c r="J347" s="1252"/>
      <c r="K347" s="1251"/>
      <c r="L347" s="1252"/>
      <c r="M347" s="1253"/>
      <c r="N347" s="1253"/>
      <c r="O347" s="1253"/>
      <c r="P347" s="93"/>
    </row>
    <row r="348" spans="3:16" s="146" customFormat="1" ht="18" hidden="1" customHeight="1" x14ac:dyDescent="0.25">
      <c r="C348" s="80"/>
      <c r="D348" s="81"/>
      <c r="E348" s="153"/>
      <c r="F348" s="153"/>
      <c r="G348" s="153"/>
      <c r="H348" s="153"/>
      <c r="I348" s="153"/>
      <c r="J348" s="153"/>
      <c r="K348" s="153"/>
      <c r="L348" s="153"/>
      <c r="M348" s="153"/>
      <c r="N348" s="153"/>
      <c r="O348" s="94"/>
      <c r="P348" s="93"/>
    </row>
    <row r="349" spans="3:16" s="146" customFormat="1" ht="18" hidden="1" customHeight="1" x14ac:dyDescent="0.25">
      <c r="C349" s="80"/>
      <c r="D349" s="1278"/>
      <c r="E349" s="1278"/>
      <c r="F349" s="1278"/>
      <c r="G349" s="1278"/>
      <c r="H349" s="1278"/>
      <c r="I349" s="1278"/>
      <c r="J349" s="1278"/>
      <c r="K349" s="1278"/>
      <c r="L349" s="150"/>
      <c r="M349" s="1279"/>
      <c r="N349" s="1128"/>
      <c r="O349" s="95"/>
      <c r="P349" s="93"/>
    </row>
    <row r="350" spans="3:16" s="146" customFormat="1" ht="18" hidden="1" customHeight="1" x14ac:dyDescent="0.25">
      <c r="C350" s="80"/>
      <c r="D350" s="151"/>
      <c r="E350" s="151"/>
      <c r="F350" s="151"/>
      <c r="G350" s="151"/>
      <c r="H350" s="151"/>
      <c r="I350" s="151"/>
      <c r="J350" s="151"/>
      <c r="K350" s="151"/>
      <c r="L350" s="150"/>
      <c r="M350" s="149"/>
      <c r="N350" s="150"/>
      <c r="O350" s="95"/>
      <c r="P350" s="93"/>
    </row>
    <row r="351" spans="3:16" s="146" customFormat="1" ht="18" hidden="1" customHeight="1" x14ac:dyDescent="0.25">
      <c r="C351" s="80"/>
      <c r="D351" s="151"/>
      <c r="E351" s="151"/>
      <c r="F351" s="151"/>
      <c r="G351" s="151"/>
      <c r="H351" s="151"/>
      <c r="I351" s="151"/>
      <c r="J351" s="151"/>
      <c r="K351" s="151"/>
      <c r="L351" s="150"/>
      <c r="M351" s="149"/>
      <c r="N351" s="150"/>
      <c r="O351" s="95"/>
      <c r="P351" s="93"/>
    </row>
    <row r="352" spans="3:16" s="146" customFormat="1" ht="18" hidden="1" customHeight="1" x14ac:dyDescent="0.25">
      <c r="C352" s="80"/>
      <c r="D352" s="151"/>
      <c r="E352" s="151"/>
      <c r="F352" s="151"/>
      <c r="G352" s="151"/>
      <c r="H352" s="151"/>
      <c r="I352" s="151"/>
      <c r="J352" s="151"/>
      <c r="K352" s="151"/>
      <c r="L352" s="150"/>
      <c r="M352" s="149"/>
      <c r="N352" s="150"/>
      <c r="O352" s="95"/>
      <c r="P352" s="93"/>
    </row>
    <row r="353" spans="2:16" s="146" customFormat="1" ht="9.9499999999999993" hidden="1" customHeight="1" thickBot="1" x14ac:dyDescent="0.3">
      <c r="C353" s="80"/>
      <c r="D353" s="81"/>
      <c r="E353" s="81"/>
      <c r="F353" s="81"/>
      <c r="G353" s="81"/>
      <c r="H353" s="81"/>
      <c r="I353" s="81"/>
      <c r="J353" s="81"/>
      <c r="K353" s="81"/>
      <c r="L353" s="81"/>
      <c r="M353" s="81"/>
      <c r="N353" s="81"/>
      <c r="O353" s="96"/>
      <c r="P353" s="97"/>
    </row>
    <row r="354" spans="2:16" s="146" customFormat="1" ht="18" hidden="1" customHeight="1" x14ac:dyDescent="0.25">
      <c r="B354" s="31" t="s">
        <v>34</v>
      </c>
      <c r="C354" s="29"/>
      <c r="E354" s="30"/>
      <c r="F354" s="30"/>
      <c r="G354" s="1041" t="s">
        <v>343</v>
      </c>
      <c r="H354" s="1042"/>
      <c r="I354" s="1042"/>
      <c r="J354" s="1043"/>
      <c r="K354" s="1085">
        <v>1</v>
      </c>
      <c r="L354" s="1086"/>
      <c r="M354" s="18"/>
      <c r="N354" s="18"/>
      <c r="O354" s="98"/>
      <c r="P354" s="99"/>
    </row>
    <row r="355" spans="2:16" s="146" customFormat="1" ht="18" hidden="1" customHeight="1" x14ac:dyDescent="0.25">
      <c r="B355" s="31" t="str">
        <f>C339</f>
        <v>1.19</v>
      </c>
      <c r="C355" s="29"/>
      <c r="E355" s="30"/>
      <c r="F355" s="30"/>
      <c r="G355" s="1082" t="s">
        <v>344</v>
      </c>
      <c r="H355" s="1083"/>
      <c r="I355" s="1083"/>
      <c r="J355" s="1084"/>
      <c r="K355" s="1075">
        <f>K354+O336</f>
        <v>1</v>
      </c>
      <c r="L355" s="1076"/>
      <c r="M355" s="18"/>
      <c r="N355" s="18"/>
      <c r="O355" s="98"/>
      <c r="P355" s="99"/>
    </row>
    <row r="356" spans="2:16" s="146" customFormat="1" ht="18" hidden="1" customHeight="1" x14ac:dyDescent="0.25">
      <c r="C356" s="29"/>
      <c r="D356" s="30"/>
      <c r="E356" s="30"/>
      <c r="F356" s="30"/>
      <c r="G356" s="1082" t="s">
        <v>345</v>
      </c>
      <c r="H356" s="1083"/>
      <c r="I356" s="1083"/>
      <c r="J356" s="1084"/>
      <c r="K356" s="1075">
        <f>'BM DETALHADO'!E32</f>
        <v>1</v>
      </c>
      <c r="L356" s="1076"/>
      <c r="M356" s="18"/>
      <c r="N356" s="18"/>
      <c r="O356" s="98"/>
      <c r="P356" s="99"/>
    </row>
    <row r="357" spans="2:16" s="146" customFormat="1" ht="18" hidden="1" customHeight="1" thickBot="1" x14ac:dyDescent="0.3">
      <c r="C357" s="29"/>
      <c r="D357" s="30"/>
      <c r="E357" s="30"/>
      <c r="F357" s="30"/>
      <c r="G357" s="1077" t="s">
        <v>346</v>
      </c>
      <c r="H357" s="1078"/>
      <c r="I357" s="1078"/>
      <c r="J357" s="1079"/>
      <c r="K357" s="1068">
        <f>K356-K355</f>
        <v>0</v>
      </c>
      <c r="L357" s="1069"/>
      <c r="M357" s="18"/>
      <c r="N357" s="18"/>
      <c r="O357" s="98"/>
      <c r="P357" s="99"/>
    </row>
    <row r="358" spans="2:16" s="146" customFormat="1" ht="9.9499999999999993" hidden="1" customHeight="1" thickBot="1" x14ac:dyDescent="0.3">
      <c r="C358" s="21"/>
      <c r="D358" s="22"/>
      <c r="E358" s="22"/>
      <c r="F358" s="22"/>
      <c r="G358" s="27"/>
      <c r="H358" s="27"/>
      <c r="I358" s="27"/>
      <c r="J358" s="27"/>
      <c r="K358" s="28"/>
      <c r="L358" s="28"/>
      <c r="M358" s="22"/>
      <c r="N358" s="22"/>
      <c r="O358" s="100"/>
      <c r="P358" s="101"/>
    </row>
    <row r="359" spans="2:16" s="146" customFormat="1" ht="18" customHeight="1" x14ac:dyDescent="0.25">
      <c r="C359" s="20" t="s">
        <v>34</v>
      </c>
      <c r="D359" s="1052" t="s">
        <v>35</v>
      </c>
      <c r="E359" s="1053"/>
      <c r="F359" s="1053"/>
      <c r="G359" s="1053"/>
      <c r="H359" s="1053"/>
      <c r="I359" s="1053"/>
      <c r="J359" s="1053"/>
      <c r="K359" s="1053"/>
      <c r="L359" s="1053"/>
      <c r="M359" s="1054"/>
      <c r="N359" s="145" t="s">
        <v>0</v>
      </c>
      <c r="O359" s="1107" t="s">
        <v>4</v>
      </c>
      <c r="P359" s="1108"/>
    </row>
    <row r="360" spans="2:16" s="146" customFormat="1" ht="69.95" customHeight="1" thickBot="1" x14ac:dyDescent="0.3">
      <c r="C360" s="261" t="s">
        <v>57</v>
      </c>
      <c r="D360" s="1129" t="str">
        <f>VLOOKUP(C360,'BM DETALHADO'!$B$13:$D$126,2,FALSE)</f>
        <v>LOCACAO DE ESCORA METALICA TELESCOPICA, COM ALTURA REGULAVEL DE *1,80* A *3,20* M, COM CAPACIDADE DE CARGA DE NO MINIMO 1000 KGF (10 KN), INCLUSO TRIPE E FORCADO</v>
      </c>
      <c r="E360" s="1130"/>
      <c r="F360" s="1130"/>
      <c r="G360" s="1130"/>
      <c r="H360" s="1130"/>
      <c r="I360" s="1130"/>
      <c r="J360" s="1130"/>
      <c r="K360" s="1130"/>
      <c r="L360" s="1130"/>
      <c r="M360" s="1131"/>
      <c r="N360" s="262" t="str">
        <f>VLOOKUP(C360,'BM DETALHADO'!$B$13:$D$126,3,FALSE)</f>
        <v>Mxmês</v>
      </c>
      <c r="O360" s="1109"/>
      <c r="P360" s="1256"/>
    </row>
    <row r="361" spans="2:16" s="146" customFormat="1" ht="9.9499999999999993" customHeight="1" x14ac:dyDescent="0.25">
      <c r="C361" s="77"/>
      <c r="D361" s="78"/>
      <c r="E361" s="79"/>
      <c r="F361" s="79"/>
      <c r="G361" s="79"/>
      <c r="H361" s="79"/>
      <c r="I361" s="79"/>
      <c r="J361" s="79"/>
      <c r="K361" s="79"/>
      <c r="L361" s="79"/>
      <c r="M361" s="79"/>
      <c r="N361" s="79"/>
      <c r="O361" s="91"/>
      <c r="P361" s="92"/>
    </row>
    <row r="362" spans="2:16" s="146" customFormat="1" ht="18" customHeight="1" x14ac:dyDescent="0.25">
      <c r="C362" s="336"/>
      <c r="D362" s="1300" t="s">
        <v>302</v>
      </c>
      <c r="E362" s="1300"/>
      <c r="F362" s="1300"/>
      <c r="G362" s="1300">
        <v>9</v>
      </c>
      <c r="H362" s="1300"/>
      <c r="I362" s="376" t="s">
        <v>298</v>
      </c>
      <c r="J362" s="401"/>
      <c r="K362" s="401"/>
      <c r="L362" s="401"/>
      <c r="M362" s="401"/>
      <c r="N362" s="277"/>
      <c r="O362" s="277"/>
      <c r="P362" s="203"/>
    </row>
    <row r="363" spans="2:16" s="146" customFormat="1" ht="18" customHeight="1" x14ac:dyDescent="0.25">
      <c r="C363" s="336"/>
      <c r="D363" s="1061" t="s">
        <v>304</v>
      </c>
      <c r="E363" s="1061"/>
      <c r="F363" s="1061"/>
      <c r="G363" s="1061">
        <v>1200</v>
      </c>
      <c r="H363" s="1061"/>
      <c r="I363" s="393" t="s">
        <v>292</v>
      </c>
      <c r="J363" s="401"/>
      <c r="K363" s="401"/>
      <c r="L363" s="401"/>
      <c r="M363" s="401"/>
      <c r="N363" s="277"/>
      <c r="O363" s="277"/>
      <c r="P363" s="203"/>
    </row>
    <row r="364" spans="2:16" s="146" customFormat="1" ht="18" customHeight="1" x14ac:dyDescent="0.25">
      <c r="C364" s="202"/>
      <c r="D364" s="1298" t="s">
        <v>303</v>
      </c>
      <c r="E364" s="1298"/>
      <c r="F364" s="1298"/>
      <c r="G364" s="1331">
        <f>G363/G362</f>
        <v>133.33333333333334</v>
      </c>
      <c r="H364" s="1331"/>
      <c r="I364" s="395" t="s">
        <v>292</v>
      </c>
      <c r="J364" s="401"/>
      <c r="K364" s="401"/>
      <c r="L364" s="401"/>
      <c r="M364" s="401"/>
      <c r="N364" s="277"/>
      <c r="O364" s="277"/>
      <c r="P364" s="93"/>
    </row>
    <row r="365" spans="2:16" s="146" customFormat="1" ht="18" customHeight="1" x14ac:dyDescent="0.25">
      <c r="C365" s="202"/>
      <c r="D365" s="401"/>
      <c r="E365" s="401"/>
      <c r="F365" s="401"/>
      <c r="G365" s="401"/>
      <c r="H365" s="401"/>
      <c r="I365" s="401"/>
      <c r="J365" s="401"/>
      <c r="K365" s="401"/>
      <c r="L365" s="401"/>
      <c r="M365" s="401"/>
      <c r="N365" s="277"/>
      <c r="O365" s="277"/>
      <c r="P365" s="93"/>
    </row>
    <row r="366" spans="2:16" s="146" customFormat="1" ht="18" customHeight="1" x14ac:dyDescent="0.25">
      <c r="C366" s="202"/>
      <c r="D366" s="1299" t="s">
        <v>320</v>
      </c>
      <c r="E366" s="1299"/>
      <c r="F366" s="1299"/>
      <c r="G366" s="1299"/>
      <c r="H366" s="1299"/>
      <c r="I366" s="1299"/>
      <c r="J366" s="396" t="s">
        <v>290</v>
      </c>
      <c r="K366" s="402">
        <v>150.87</v>
      </c>
      <c r="L366" s="377" t="s">
        <v>65</v>
      </c>
      <c r="M366" s="403"/>
      <c r="N366" s="287"/>
      <c r="O366" s="287"/>
      <c r="P366" s="186"/>
    </row>
    <row r="367" spans="2:16" s="146" customFormat="1" ht="18" customHeight="1" x14ac:dyDescent="0.25">
      <c r="C367" s="202"/>
      <c r="D367" s="1299" t="s">
        <v>321</v>
      </c>
      <c r="E367" s="1299"/>
      <c r="F367" s="1299"/>
      <c r="G367" s="1299"/>
      <c r="H367" s="1299"/>
      <c r="I367" s="1299"/>
      <c r="J367" s="396" t="s">
        <v>290</v>
      </c>
      <c r="K367" s="402">
        <f>G364</f>
        <v>133.33333333333334</v>
      </c>
      <c r="L367" s="377" t="s">
        <v>65</v>
      </c>
      <c r="M367" s="403"/>
      <c r="N367" s="287"/>
      <c r="O367" s="287"/>
      <c r="P367" s="93"/>
    </row>
    <row r="368" spans="2:16" s="146" customFormat="1" ht="18" customHeight="1" x14ac:dyDescent="0.25">
      <c r="C368" s="202"/>
      <c r="D368" s="1299" t="s">
        <v>322</v>
      </c>
      <c r="E368" s="1299"/>
      <c r="F368" s="1299"/>
      <c r="G368" s="1299"/>
      <c r="H368" s="1299"/>
      <c r="I368" s="1299"/>
      <c r="J368" s="396" t="s">
        <v>290</v>
      </c>
      <c r="K368" s="402">
        <f>G364</f>
        <v>133.33333333333334</v>
      </c>
      <c r="L368" s="377" t="s">
        <v>65</v>
      </c>
      <c r="M368" s="403"/>
      <c r="N368" s="287"/>
      <c r="O368" s="287"/>
      <c r="P368" s="93"/>
    </row>
    <row r="369" spans="2:16" s="146" customFormat="1" ht="18" customHeight="1" x14ac:dyDescent="0.25">
      <c r="C369" s="80"/>
      <c r="D369" s="1299" t="s">
        <v>323</v>
      </c>
      <c r="E369" s="1299"/>
      <c r="F369" s="1299"/>
      <c r="G369" s="1299"/>
      <c r="H369" s="1299"/>
      <c r="I369" s="1299"/>
      <c r="J369" s="396" t="s">
        <v>290</v>
      </c>
      <c r="K369" s="402">
        <f>SUM(K366:K368)</f>
        <v>417.53666666666675</v>
      </c>
      <c r="L369" s="377" t="s">
        <v>65</v>
      </c>
      <c r="M369" s="403"/>
      <c r="N369" s="287"/>
      <c r="O369" s="287"/>
      <c r="P369" s="93"/>
    </row>
    <row r="370" spans="2:16" s="146" customFormat="1" ht="18" customHeight="1" x14ac:dyDescent="0.25">
      <c r="C370" s="80"/>
      <c r="D370" s="1230" t="s">
        <v>324</v>
      </c>
      <c r="E370" s="1230"/>
      <c r="F370" s="1230"/>
      <c r="G370" s="1230"/>
      <c r="H370" s="1230"/>
      <c r="I370" s="1230"/>
      <c r="J370" s="404" t="s">
        <v>290</v>
      </c>
      <c r="K370" s="405">
        <f>K366-G364</f>
        <v>17.536666666666662</v>
      </c>
      <c r="L370" s="377" t="s">
        <v>292</v>
      </c>
      <c r="M370" s="403"/>
      <c r="N370" s="287"/>
      <c r="O370" s="287"/>
      <c r="P370" s="93"/>
    </row>
    <row r="371" spans="2:16" s="146" customFormat="1" ht="18" customHeight="1" x14ac:dyDescent="0.25">
      <c r="C371" s="80"/>
      <c r="D371" s="1230" t="s">
        <v>325</v>
      </c>
      <c r="E371" s="1230"/>
      <c r="F371" s="1230"/>
      <c r="G371" s="1230"/>
      <c r="H371" s="1230"/>
      <c r="I371" s="1230"/>
      <c r="J371" s="406" t="s">
        <v>290</v>
      </c>
      <c r="K371" s="405">
        <f>K369-K370</f>
        <v>400.00000000000011</v>
      </c>
      <c r="L371" s="407" t="s">
        <v>292</v>
      </c>
      <c r="M371" s="1117" t="s">
        <v>439</v>
      </c>
      <c r="N371" s="1117"/>
      <c r="O371" s="1117"/>
      <c r="P371" s="1118"/>
    </row>
    <row r="372" spans="2:16" s="146" customFormat="1" ht="18" customHeight="1" x14ac:dyDescent="0.25">
      <c r="C372" s="80"/>
      <c r="D372" s="1230" t="s">
        <v>348</v>
      </c>
      <c r="E372" s="1230"/>
      <c r="F372" s="1230"/>
      <c r="G372" s="1230"/>
      <c r="H372" s="1230"/>
      <c r="I372" s="1230"/>
      <c r="J372" s="409" t="s">
        <v>290</v>
      </c>
      <c r="K372" s="410">
        <f>G364</f>
        <v>133.33333333333334</v>
      </c>
      <c r="L372" s="411" t="s">
        <v>292</v>
      </c>
      <c r="M372" s="1117"/>
      <c r="N372" s="1117"/>
      <c r="O372" s="1117"/>
      <c r="P372" s="1118"/>
    </row>
    <row r="373" spans="2:16" s="146" customFormat="1" ht="18" customHeight="1" x14ac:dyDescent="0.25">
      <c r="C373" s="80"/>
      <c r="D373" s="1362" t="s">
        <v>438</v>
      </c>
      <c r="E373" s="1362"/>
      <c r="F373" s="1362"/>
      <c r="G373" s="1362"/>
      <c r="H373" s="1362"/>
      <c r="I373" s="1362"/>
      <c r="J373" s="412" t="s">
        <v>290</v>
      </c>
      <c r="K373" s="413">
        <f>G364</f>
        <v>133.33333333333334</v>
      </c>
      <c r="L373" s="414" t="s">
        <v>292</v>
      </c>
      <c r="M373" s="1117"/>
      <c r="N373" s="1117"/>
      <c r="O373" s="1117"/>
      <c r="P373" s="1118"/>
    </row>
    <row r="374" spans="2:16" s="146" customFormat="1" ht="9.9499999999999993" customHeight="1" thickBot="1" x14ac:dyDescent="0.3">
      <c r="C374" s="80"/>
      <c r="D374" s="283"/>
      <c r="E374" s="283"/>
      <c r="F374" s="283"/>
      <c r="G374" s="283"/>
      <c r="H374" s="283"/>
      <c r="I374" s="283"/>
      <c r="J374" s="283"/>
      <c r="K374" s="283"/>
      <c r="L374" s="283"/>
      <c r="M374" s="1117"/>
      <c r="N374" s="1117"/>
      <c r="O374" s="1117"/>
      <c r="P374" s="1118"/>
    </row>
    <row r="375" spans="2:16" s="146" customFormat="1" ht="18" customHeight="1" x14ac:dyDescent="0.25">
      <c r="B375" s="31" t="s">
        <v>34</v>
      </c>
      <c r="C375" s="29"/>
      <c r="D375" s="340"/>
      <c r="E375" s="408"/>
      <c r="F375" s="408"/>
      <c r="G375" s="1041" t="s">
        <v>343</v>
      </c>
      <c r="H375" s="1042"/>
      <c r="I375" s="1042"/>
      <c r="J375" s="1043"/>
      <c r="K375" s="1085">
        <f>'[27]MEMÓRIA DE CÁLCULO'!$K$376</f>
        <v>1199.9978333333333</v>
      </c>
      <c r="L375" s="1086"/>
      <c r="M375" s="1117"/>
      <c r="N375" s="1117"/>
      <c r="O375" s="1117"/>
      <c r="P375" s="1118"/>
    </row>
    <row r="376" spans="2:16" s="146" customFormat="1" ht="18" customHeight="1" x14ac:dyDescent="0.25">
      <c r="B376" s="31" t="str">
        <f>C360</f>
        <v>1.20</v>
      </c>
      <c r="C376" s="29"/>
      <c r="D376" s="340"/>
      <c r="E376" s="408"/>
      <c r="F376" s="408"/>
      <c r="G376" s="1082" t="s">
        <v>344</v>
      </c>
      <c r="H376" s="1083"/>
      <c r="I376" s="1083"/>
      <c r="J376" s="1084"/>
      <c r="K376" s="1075">
        <f>K375+O360</f>
        <v>1199.9978333333333</v>
      </c>
      <c r="L376" s="1076"/>
      <c r="M376" s="1117"/>
      <c r="N376" s="1117"/>
      <c r="O376" s="1117"/>
      <c r="P376" s="1118"/>
    </row>
    <row r="377" spans="2:16" s="146" customFormat="1" ht="18" customHeight="1" x14ac:dyDescent="0.25">
      <c r="C377" s="29"/>
      <c r="D377" s="408"/>
      <c r="E377" s="408"/>
      <c r="F377" s="408"/>
      <c r="G377" s="1082" t="s">
        <v>345</v>
      </c>
      <c r="H377" s="1083"/>
      <c r="I377" s="1083"/>
      <c r="J377" s="1084"/>
      <c r="K377" s="1075">
        <f>VLOOKUP(C360,'[26]BM DETALHADO'!$B$13:$E$126,4,FALSE)</f>
        <v>1200</v>
      </c>
      <c r="L377" s="1076"/>
      <c r="M377" s="1117"/>
      <c r="N377" s="1117"/>
      <c r="O377" s="1117"/>
      <c r="P377" s="1118"/>
    </row>
    <row r="378" spans="2:16" s="146" customFormat="1" ht="18" customHeight="1" thickBot="1" x14ac:dyDescent="0.3">
      <c r="C378" s="29"/>
      <c r="D378" s="408"/>
      <c r="E378" s="408"/>
      <c r="F378" s="408"/>
      <c r="G378" s="1077" t="s">
        <v>346</v>
      </c>
      <c r="H378" s="1078"/>
      <c r="I378" s="1078"/>
      <c r="J378" s="1079"/>
      <c r="K378" s="1068">
        <f>K377-K376</f>
        <v>2.1666666666533274E-3</v>
      </c>
      <c r="L378" s="1069"/>
      <c r="M378" s="1117"/>
      <c r="N378" s="1117"/>
      <c r="O378" s="1117"/>
      <c r="P378" s="1118"/>
    </row>
    <row r="379" spans="2:16" s="146" customFormat="1" ht="9.9499999999999993" customHeight="1" thickBot="1" x14ac:dyDescent="0.3">
      <c r="C379" s="21"/>
      <c r="D379" s="22"/>
      <c r="E379" s="22"/>
      <c r="F379" s="22"/>
      <c r="G379" s="27"/>
      <c r="H379" s="27"/>
      <c r="I379" s="27"/>
      <c r="J379" s="27"/>
      <c r="K379" s="28"/>
      <c r="L379" s="28"/>
      <c r="M379" s="22"/>
      <c r="N379" s="22"/>
      <c r="O379" s="100"/>
      <c r="P379" s="101"/>
    </row>
    <row r="380" spans="2:16" s="146" customFormat="1" ht="18" hidden="1" customHeight="1" x14ac:dyDescent="0.25">
      <c r="C380" s="20" t="s">
        <v>34</v>
      </c>
      <c r="D380" s="1052" t="s">
        <v>35</v>
      </c>
      <c r="E380" s="1053"/>
      <c r="F380" s="1053"/>
      <c r="G380" s="1053"/>
      <c r="H380" s="1053"/>
      <c r="I380" s="1053"/>
      <c r="J380" s="1053"/>
      <c r="K380" s="1053"/>
      <c r="L380" s="1053"/>
      <c r="M380" s="1054"/>
      <c r="N380" s="145" t="s">
        <v>0</v>
      </c>
      <c r="O380" s="1107" t="s">
        <v>4</v>
      </c>
      <c r="P380" s="1108"/>
    </row>
    <row r="381" spans="2:16" s="146" customFormat="1" ht="69.95" hidden="1" customHeight="1" thickBot="1" x14ac:dyDescent="0.3">
      <c r="C381" s="85" t="s">
        <v>58</v>
      </c>
      <c r="D381" s="1070" t="str">
        <f>VLOOKUP(C381,'BM DETALHADO'!$B$13:$D$126,2,FALSE)</f>
        <v>BARRACÃO CANTEIRO NA PRAÇA JULI, PARA GUARDA  DE MATERIAIS ARTÍSTICOS  E OU RESTAURADOS PARA RE-UTILIZAÇÃO</v>
      </c>
      <c r="E381" s="1071"/>
      <c r="F381" s="1071"/>
      <c r="G381" s="1071"/>
      <c r="H381" s="1071"/>
      <c r="I381" s="1071"/>
      <c r="J381" s="1071"/>
      <c r="K381" s="1071"/>
      <c r="L381" s="1071"/>
      <c r="M381" s="1072"/>
      <c r="N381" s="19" t="str">
        <f>VLOOKUP(C381,'BM DETALHADO'!$B$13:$D$126,3,FALSE)</f>
        <v>M2</v>
      </c>
      <c r="O381" s="1109"/>
      <c r="P381" s="1110"/>
    </row>
    <row r="382" spans="2:16" s="146" customFormat="1" ht="9.9499999999999993" hidden="1" customHeight="1" x14ac:dyDescent="0.25">
      <c r="C382" s="77"/>
      <c r="D382" s="78"/>
      <c r="E382" s="79"/>
      <c r="F382" s="79"/>
      <c r="G382" s="79"/>
      <c r="H382" s="79"/>
      <c r="I382" s="79"/>
      <c r="J382" s="79"/>
      <c r="K382" s="79"/>
      <c r="L382" s="79"/>
      <c r="M382" s="79"/>
      <c r="N382" s="79"/>
      <c r="O382" s="91"/>
      <c r="P382" s="92"/>
    </row>
    <row r="383" spans="2:16" s="146" customFormat="1" ht="18" hidden="1" customHeight="1" x14ac:dyDescent="0.25">
      <c r="C383" s="336"/>
      <c r="D383" s="239"/>
      <c r="E383" s="239"/>
      <c r="F383" s="239"/>
      <c r="G383" s="239"/>
      <c r="H383" s="239"/>
      <c r="I383" s="346"/>
      <c r="J383" s="255"/>
      <c r="K383" s="239"/>
      <c r="L383" s="239"/>
      <c r="M383" s="239"/>
      <c r="N383" s="248"/>
      <c r="O383" s="248"/>
      <c r="P383" s="187"/>
    </row>
    <row r="384" spans="2:16" s="146" customFormat="1" ht="18" hidden="1" customHeight="1" x14ac:dyDescent="0.25">
      <c r="C384" s="336"/>
      <c r="D384" s="239"/>
      <c r="E384" s="239"/>
      <c r="F384" s="239"/>
      <c r="G384" s="239"/>
      <c r="H384" s="239"/>
      <c r="I384" s="346"/>
      <c r="J384" s="255"/>
      <c r="K384" s="239"/>
      <c r="L384" s="258"/>
      <c r="M384" s="258"/>
      <c r="N384" s="258"/>
      <c r="O384" s="258"/>
      <c r="P384" s="368"/>
    </row>
    <row r="385" spans="2:16" s="146" customFormat="1" ht="18" hidden="1" customHeight="1" x14ac:dyDescent="0.25">
      <c r="C385" s="202"/>
      <c r="D385" s="260"/>
      <c r="E385" s="260"/>
      <c r="F385" s="260"/>
      <c r="G385" s="260"/>
      <c r="H385" s="260"/>
      <c r="I385" s="346"/>
      <c r="J385" s="259"/>
      <c r="K385" s="260"/>
      <c r="L385" s="240"/>
      <c r="M385" s="240"/>
      <c r="N385" s="240"/>
      <c r="O385" s="240"/>
      <c r="P385" s="369"/>
    </row>
    <row r="386" spans="2:16" s="146" customFormat="1" ht="18" hidden="1" customHeight="1" x14ac:dyDescent="0.25">
      <c r="C386" s="202"/>
      <c r="D386" s="334"/>
      <c r="E386" s="334"/>
      <c r="F386" s="254"/>
      <c r="G386" s="254"/>
      <c r="H386" s="254"/>
      <c r="I386" s="254"/>
      <c r="J386" s="254"/>
      <c r="K386" s="254"/>
      <c r="L386" s="254"/>
      <c r="M386" s="254"/>
      <c r="N386" s="254"/>
      <c r="O386" s="254"/>
      <c r="P386" s="187"/>
    </row>
    <row r="387" spans="2:16" s="146" customFormat="1" ht="18" hidden="1" customHeight="1" x14ac:dyDescent="0.25">
      <c r="C387" s="202"/>
      <c r="D387" s="239"/>
      <c r="E387" s="239"/>
      <c r="F387" s="239"/>
      <c r="G387" s="239"/>
      <c r="H387" s="239"/>
      <c r="I387" s="239"/>
      <c r="J387" s="239"/>
      <c r="K387" s="239"/>
      <c r="L387" s="239"/>
      <c r="M387" s="239"/>
      <c r="N387" s="239"/>
      <c r="O387" s="239"/>
      <c r="P387" s="187"/>
    </row>
    <row r="388" spans="2:16" s="146" customFormat="1" ht="18" hidden="1" customHeight="1" x14ac:dyDescent="0.25">
      <c r="C388" s="202"/>
      <c r="D388" s="239"/>
      <c r="E388" s="239"/>
      <c r="F388" s="239"/>
      <c r="G388" s="239"/>
      <c r="H388" s="239"/>
      <c r="I388" s="239"/>
      <c r="J388" s="239"/>
      <c r="K388" s="239"/>
      <c r="L388" s="239"/>
      <c r="M388" s="239"/>
      <c r="N388" s="239"/>
      <c r="O388" s="239"/>
      <c r="P388" s="187"/>
    </row>
    <row r="389" spans="2:16" s="146" customFormat="1" ht="18" hidden="1" customHeight="1" x14ac:dyDescent="0.25">
      <c r="C389" s="202"/>
      <c r="D389" s="239"/>
      <c r="E389" s="239"/>
      <c r="F389" s="255"/>
      <c r="G389" s="255"/>
      <c r="H389" s="258"/>
      <c r="I389" s="258"/>
      <c r="J389" s="258"/>
      <c r="K389" s="258"/>
      <c r="L389" s="258"/>
      <c r="M389" s="258"/>
      <c r="N389" s="258"/>
      <c r="O389" s="258"/>
      <c r="P389" s="187"/>
    </row>
    <row r="390" spans="2:16" s="146" customFormat="1" ht="18" hidden="1" customHeight="1" x14ac:dyDescent="0.25">
      <c r="C390" s="80"/>
      <c r="D390" s="239"/>
      <c r="E390" s="239"/>
      <c r="F390" s="240"/>
      <c r="G390" s="240"/>
      <c r="H390" s="240"/>
      <c r="I390" s="240"/>
      <c r="J390" s="240"/>
      <c r="K390" s="240"/>
      <c r="L390" s="240"/>
      <c r="M390" s="240"/>
      <c r="N390" s="240"/>
      <c r="O390" s="240"/>
      <c r="P390" s="187"/>
    </row>
    <row r="391" spans="2:16" s="146" customFormat="1" ht="18" hidden="1" customHeight="1" x14ac:dyDescent="0.25">
      <c r="C391" s="80"/>
      <c r="D391" s="241"/>
      <c r="E391" s="241"/>
      <c r="F391" s="241"/>
      <c r="G391" s="241"/>
      <c r="H391" s="255"/>
      <c r="I391" s="241"/>
      <c r="J391" s="241"/>
      <c r="K391" s="241"/>
      <c r="L391" s="346"/>
      <c r="M391" s="242"/>
      <c r="N391" s="346"/>
      <c r="O391" s="359"/>
      <c r="P391" s="187"/>
    </row>
    <row r="392" spans="2:16" s="146" customFormat="1" ht="18" hidden="1" customHeight="1" x14ac:dyDescent="0.25">
      <c r="C392" s="80"/>
      <c r="D392" s="239"/>
      <c r="E392" s="239"/>
      <c r="F392" s="239"/>
      <c r="G392" s="239"/>
      <c r="H392" s="239"/>
      <c r="I392" s="239"/>
      <c r="J392" s="239"/>
      <c r="K392" s="239"/>
      <c r="L392" s="239"/>
      <c r="M392" s="239"/>
      <c r="N392" s="239"/>
      <c r="O392" s="239"/>
      <c r="P392" s="187"/>
    </row>
    <row r="393" spans="2:16" s="146" customFormat="1" ht="18" hidden="1" customHeight="1" x14ac:dyDescent="0.25">
      <c r="C393" s="80"/>
      <c r="D393" s="241"/>
      <c r="E393" s="241"/>
      <c r="F393" s="241"/>
      <c r="G393" s="241"/>
      <c r="H393" s="241"/>
      <c r="I393" s="241"/>
      <c r="J393" s="241"/>
      <c r="K393" s="241"/>
      <c r="L393" s="346"/>
      <c r="M393" s="242"/>
      <c r="N393" s="346"/>
      <c r="O393" s="359"/>
      <c r="P393" s="187"/>
    </row>
    <row r="394" spans="2:16" s="146" customFormat="1" ht="18" hidden="1" customHeight="1" x14ac:dyDescent="0.25">
      <c r="C394" s="80"/>
      <c r="D394" s="257"/>
      <c r="E394" s="257"/>
      <c r="F394" s="257"/>
      <c r="G394" s="244"/>
      <c r="H394" s="359"/>
      <c r="I394" s="346"/>
      <c r="J394" s="241"/>
      <c r="K394" s="241"/>
      <c r="L394" s="346"/>
      <c r="M394" s="242"/>
      <c r="N394" s="346"/>
      <c r="O394" s="359"/>
      <c r="P394" s="187"/>
    </row>
    <row r="395" spans="2:16" s="146" customFormat="1" ht="9.9499999999999993" hidden="1" customHeight="1" thickBot="1" x14ac:dyDescent="0.3">
      <c r="C395" s="80"/>
      <c r="D395" s="81"/>
      <c r="E395" s="81"/>
      <c r="F395" s="81"/>
      <c r="G395" s="81"/>
      <c r="H395" s="81"/>
      <c r="I395" s="81"/>
      <c r="J395" s="81"/>
      <c r="K395" s="81"/>
      <c r="L395" s="81"/>
      <c r="M395" s="81"/>
      <c r="N395" s="81"/>
      <c r="O395" s="96"/>
      <c r="P395" s="97"/>
    </row>
    <row r="396" spans="2:16" s="146" customFormat="1" ht="18" hidden="1" customHeight="1" x14ac:dyDescent="0.25">
      <c r="B396" s="31" t="s">
        <v>34</v>
      </c>
      <c r="C396" s="29"/>
      <c r="E396" s="30"/>
      <c r="F396" s="30"/>
      <c r="G396" s="1041" t="s">
        <v>343</v>
      </c>
      <c r="H396" s="1042"/>
      <c r="I396" s="1042"/>
      <c r="J396" s="1043"/>
      <c r="K396" s="1085">
        <v>100</v>
      </c>
      <c r="L396" s="1086"/>
      <c r="M396" s="18"/>
      <c r="N396" s="18"/>
      <c r="O396" s="98"/>
      <c r="P396" s="99"/>
    </row>
    <row r="397" spans="2:16" s="146" customFormat="1" ht="18" hidden="1" customHeight="1" x14ac:dyDescent="0.25">
      <c r="B397" s="31" t="str">
        <f>C381</f>
        <v>1.21</v>
      </c>
      <c r="C397" s="29"/>
      <c r="E397" s="30"/>
      <c r="F397" s="30"/>
      <c r="G397" s="1082" t="s">
        <v>344</v>
      </c>
      <c r="H397" s="1083"/>
      <c r="I397" s="1083"/>
      <c r="J397" s="1084"/>
      <c r="K397" s="1075">
        <f>K396+O381</f>
        <v>100</v>
      </c>
      <c r="L397" s="1076"/>
      <c r="M397" s="18"/>
      <c r="N397" s="18"/>
      <c r="O397" s="98"/>
      <c r="P397" s="99"/>
    </row>
    <row r="398" spans="2:16" s="146" customFormat="1" ht="18" hidden="1" customHeight="1" x14ac:dyDescent="0.25">
      <c r="C398" s="29"/>
      <c r="D398" s="30"/>
      <c r="E398" s="30"/>
      <c r="F398" s="30"/>
      <c r="G398" s="1082" t="s">
        <v>345</v>
      </c>
      <c r="H398" s="1083"/>
      <c r="I398" s="1083"/>
      <c r="J398" s="1084"/>
      <c r="K398" s="1075">
        <f>'BM DETALHADO'!E34</f>
        <v>100</v>
      </c>
      <c r="L398" s="1076"/>
      <c r="M398" s="18"/>
      <c r="N398" s="18"/>
      <c r="O398" s="98"/>
      <c r="P398" s="99"/>
    </row>
    <row r="399" spans="2:16" s="146" customFormat="1" ht="18" hidden="1" customHeight="1" thickBot="1" x14ac:dyDescent="0.3">
      <c r="C399" s="29"/>
      <c r="D399" s="30"/>
      <c r="E399" s="30"/>
      <c r="F399" s="30"/>
      <c r="G399" s="1077" t="s">
        <v>346</v>
      </c>
      <c r="H399" s="1078"/>
      <c r="I399" s="1078"/>
      <c r="J399" s="1079"/>
      <c r="K399" s="1068">
        <f>K398-K397</f>
        <v>0</v>
      </c>
      <c r="L399" s="1069"/>
      <c r="M399" s="18"/>
      <c r="N399" s="18"/>
      <c r="O399" s="98"/>
      <c r="P399" s="99"/>
    </row>
    <row r="400" spans="2:16" s="146" customFormat="1" ht="9.9499999999999993" hidden="1" customHeight="1" thickBot="1" x14ac:dyDescent="0.3">
      <c r="C400" s="21"/>
      <c r="D400" s="22"/>
      <c r="E400" s="22"/>
      <c r="F400" s="22"/>
      <c r="G400" s="27"/>
      <c r="H400" s="27"/>
      <c r="I400" s="27"/>
      <c r="J400" s="27"/>
      <c r="K400" s="28"/>
      <c r="L400" s="28"/>
      <c r="M400" s="22"/>
      <c r="N400" s="22"/>
      <c r="O400" s="100"/>
      <c r="P400" s="101"/>
    </row>
    <row r="401" spans="3:16" s="146" customFormat="1" ht="18" customHeight="1" x14ac:dyDescent="0.25">
      <c r="C401" s="20" t="s">
        <v>34</v>
      </c>
      <c r="D401" s="1052" t="s">
        <v>35</v>
      </c>
      <c r="E401" s="1053"/>
      <c r="F401" s="1053"/>
      <c r="G401" s="1053"/>
      <c r="H401" s="1053"/>
      <c r="I401" s="1053"/>
      <c r="J401" s="1053"/>
      <c r="K401" s="1053"/>
      <c r="L401" s="1053"/>
      <c r="M401" s="1054"/>
      <c r="N401" s="145" t="s">
        <v>0</v>
      </c>
      <c r="O401" s="1107" t="s">
        <v>4</v>
      </c>
      <c r="P401" s="1108"/>
    </row>
    <row r="402" spans="3:16" s="146" customFormat="1" ht="69.95" customHeight="1" thickBot="1" x14ac:dyDescent="0.3">
      <c r="C402" s="85" t="s">
        <v>59</v>
      </c>
      <c r="D402" s="1070" t="str">
        <f>VLOOKUP(C402,'BM DETALHADO'!$B$13:$D$126,2,FALSE)</f>
        <v>VIGIA PARA HORÁRIO DE INTEGRAL</v>
      </c>
      <c r="E402" s="1071"/>
      <c r="F402" s="1071"/>
      <c r="G402" s="1071"/>
      <c r="H402" s="1071"/>
      <c r="I402" s="1071"/>
      <c r="J402" s="1071"/>
      <c r="K402" s="1071"/>
      <c r="L402" s="1071"/>
      <c r="M402" s="1072"/>
      <c r="N402" s="19" t="str">
        <f>VLOOKUP(C402,'BM DETALHADO'!$B$13:$D$126,3,FALSE)</f>
        <v>H</v>
      </c>
      <c r="O402" s="1109"/>
      <c r="P402" s="1110"/>
    </row>
    <row r="403" spans="3:16" s="146" customFormat="1" ht="9.9499999999999993" customHeight="1" x14ac:dyDescent="0.25">
      <c r="C403" s="77"/>
      <c r="D403" s="78"/>
      <c r="E403" s="79"/>
      <c r="F403" s="79"/>
      <c r="G403" s="79"/>
      <c r="H403" s="79"/>
      <c r="I403" s="79"/>
      <c r="J403" s="79"/>
      <c r="K403" s="79"/>
      <c r="L403" s="79"/>
      <c r="M403" s="79"/>
      <c r="N403" s="79"/>
      <c r="O403" s="91"/>
      <c r="P403" s="92"/>
    </row>
    <row r="404" spans="3:16" s="146" customFormat="1" ht="18" customHeight="1" x14ac:dyDescent="0.25">
      <c r="C404" s="147"/>
      <c r="D404" s="1248" t="s">
        <v>390</v>
      </c>
      <c r="E404" s="1248"/>
      <c r="F404" s="1248"/>
      <c r="G404" s="1248"/>
      <c r="H404" s="1248"/>
      <c r="I404" s="1248" t="s">
        <v>285</v>
      </c>
      <c r="J404" s="1248"/>
      <c r="K404" s="1248" t="s">
        <v>286</v>
      </c>
      <c r="L404" s="1248"/>
      <c r="M404" s="1248" t="s">
        <v>287</v>
      </c>
      <c r="N404" s="1248"/>
      <c r="O404" s="171"/>
      <c r="P404" s="93"/>
    </row>
    <row r="405" spans="3:16" s="146" customFormat="1" ht="18" customHeight="1" x14ac:dyDescent="0.25">
      <c r="C405" s="147"/>
      <c r="D405" s="1180">
        <v>44768</v>
      </c>
      <c r="E405" s="1181"/>
      <c r="F405" s="544" t="s">
        <v>288</v>
      </c>
      <c r="G405" s="1158">
        <v>44798</v>
      </c>
      <c r="H405" s="1159"/>
      <c r="I405" s="1231">
        <f>G405-D405+1</f>
        <v>31</v>
      </c>
      <c r="J405" s="1231"/>
      <c r="K405" s="1363">
        <v>12</v>
      </c>
      <c r="L405" s="1363"/>
      <c r="M405" s="1231">
        <f>K405*I405</f>
        <v>372</v>
      </c>
      <c r="N405" s="1231"/>
      <c r="O405" s="171"/>
      <c r="P405" s="93"/>
    </row>
    <row r="406" spans="3:16" s="146" customFormat="1" ht="18" customHeight="1" x14ac:dyDescent="0.25">
      <c r="C406" s="1183"/>
      <c r="D406" s="1364"/>
      <c r="E406" s="1364"/>
      <c r="F406" s="1364"/>
      <c r="G406" s="1364"/>
      <c r="H406" s="1364"/>
      <c r="I406" s="1345"/>
      <c r="J406" s="1345"/>
      <c r="K406" s="1345"/>
      <c r="L406" s="1345"/>
      <c r="M406" s="1345"/>
      <c r="N406" s="1345"/>
      <c r="O406" s="171"/>
      <c r="P406" s="93"/>
    </row>
    <row r="407" spans="3:16" s="146" customFormat="1" ht="18" customHeight="1" x14ac:dyDescent="0.25">
      <c r="C407" s="1183"/>
      <c r="D407" s="1364"/>
      <c r="E407" s="1364"/>
      <c r="F407" s="1364"/>
      <c r="G407" s="1364"/>
      <c r="H407" s="1364"/>
      <c r="I407" s="556"/>
      <c r="J407" s="1365"/>
      <c r="K407" s="1365"/>
      <c r="L407" s="543"/>
      <c r="M407" s="557"/>
      <c r="N407" s="558"/>
      <c r="O407" s="171"/>
      <c r="P407" s="93"/>
    </row>
    <row r="408" spans="3:16" s="146" customFormat="1" ht="5.25" customHeight="1" x14ac:dyDescent="0.25">
      <c r="C408" s="1183"/>
      <c r="D408" s="173"/>
      <c r="E408" s="173"/>
      <c r="F408" s="173"/>
      <c r="G408" s="173"/>
      <c r="H408" s="172"/>
      <c r="I408" s="172"/>
      <c r="J408" s="172"/>
      <c r="K408" s="172"/>
      <c r="L408" s="172"/>
      <c r="M408" s="172"/>
      <c r="N408" s="172"/>
      <c r="O408" s="174"/>
      <c r="P408" s="93"/>
    </row>
    <row r="409" spans="3:16" s="146" customFormat="1" ht="18" customHeight="1" x14ac:dyDescent="0.25">
      <c r="C409" s="1183"/>
      <c r="D409" s="1346"/>
      <c r="E409" s="1347"/>
      <c r="F409" s="1347"/>
      <c r="G409" s="1347"/>
      <c r="H409" s="1347"/>
      <c r="I409" s="1347"/>
      <c r="J409" s="1347"/>
      <c r="K409" s="1347"/>
      <c r="L409" s="1347"/>
      <c r="M409" s="1347"/>
      <c r="N409" s="1347"/>
      <c r="O409" s="1348"/>
      <c r="P409" s="93"/>
    </row>
    <row r="410" spans="3:16" s="146" customFormat="1" ht="18" customHeight="1" x14ac:dyDescent="0.25">
      <c r="C410" s="1183"/>
      <c r="D410" s="1247" t="s">
        <v>110</v>
      </c>
      <c r="E410" s="1237"/>
      <c r="F410" s="1237" t="s">
        <v>127</v>
      </c>
      <c r="G410" s="1238"/>
      <c r="H410" s="1236" t="s">
        <v>110</v>
      </c>
      <c r="I410" s="1237"/>
      <c r="J410" s="1237" t="s">
        <v>127</v>
      </c>
      <c r="K410" s="1238"/>
      <c r="L410" s="1236" t="s">
        <v>110</v>
      </c>
      <c r="M410" s="1237"/>
      <c r="N410" s="1237" t="s">
        <v>127</v>
      </c>
      <c r="O410" s="1238"/>
      <c r="P410" s="93"/>
    </row>
    <row r="411" spans="3:16" s="146" customFormat="1" ht="18" customHeight="1" x14ac:dyDescent="0.25">
      <c r="C411" s="1183"/>
      <c r="D411" s="1221">
        <v>44501</v>
      </c>
      <c r="E411" s="1222"/>
      <c r="F411" s="1232">
        <v>168</v>
      </c>
      <c r="G411" s="1233"/>
      <c r="H411" s="1221">
        <v>44621</v>
      </c>
      <c r="I411" s="1222"/>
      <c r="J411" s="1232">
        <v>744</v>
      </c>
      <c r="K411" s="1233"/>
      <c r="L411" s="1221">
        <v>44743</v>
      </c>
      <c r="M411" s="1222"/>
      <c r="N411" s="1232">
        <v>360</v>
      </c>
      <c r="O411" s="1233"/>
      <c r="P411" s="93"/>
    </row>
    <row r="412" spans="3:16" s="146" customFormat="1" ht="18" customHeight="1" x14ac:dyDescent="0.25">
      <c r="C412" s="80"/>
      <c r="D412" s="1221">
        <v>44531</v>
      </c>
      <c r="E412" s="1222"/>
      <c r="F412" s="1239">
        <v>744</v>
      </c>
      <c r="G412" s="1240"/>
      <c r="H412" s="1234">
        <v>44652</v>
      </c>
      <c r="I412" s="1235"/>
      <c r="J412" s="1232">
        <v>720</v>
      </c>
      <c r="K412" s="1233"/>
      <c r="L412" s="1234">
        <v>44774</v>
      </c>
      <c r="M412" s="1235"/>
      <c r="N412" s="1232">
        <v>372</v>
      </c>
      <c r="O412" s="1233"/>
      <c r="P412" s="93"/>
    </row>
    <row r="413" spans="3:16" s="146" customFormat="1" ht="18" customHeight="1" x14ac:dyDescent="0.25">
      <c r="C413" s="80"/>
      <c r="D413" s="1221">
        <v>44562</v>
      </c>
      <c r="E413" s="1222"/>
      <c r="F413" s="1239">
        <v>744</v>
      </c>
      <c r="G413" s="1240"/>
      <c r="H413" s="1221">
        <v>44682</v>
      </c>
      <c r="I413" s="1222"/>
      <c r="J413" s="1232">
        <v>-60</v>
      </c>
      <c r="K413" s="1233"/>
      <c r="L413" s="1234"/>
      <c r="M413" s="1235"/>
      <c r="N413" s="1245"/>
      <c r="O413" s="1246"/>
      <c r="P413" s="93"/>
    </row>
    <row r="414" spans="3:16" s="146" customFormat="1" ht="18" customHeight="1" x14ac:dyDescent="0.25">
      <c r="C414" s="80"/>
      <c r="D414" s="1225">
        <v>44593</v>
      </c>
      <c r="E414" s="1226"/>
      <c r="F414" s="1227">
        <v>672</v>
      </c>
      <c r="G414" s="1228"/>
      <c r="H414" s="1234">
        <v>44713</v>
      </c>
      <c r="I414" s="1235"/>
      <c r="J414" s="1232">
        <v>372</v>
      </c>
      <c r="K414" s="1233"/>
      <c r="L414" s="1225"/>
      <c r="M414" s="1226"/>
      <c r="N414" s="1254"/>
      <c r="O414" s="1255"/>
      <c r="P414" s="93"/>
    </row>
    <row r="415" spans="3:16" s="146" customFormat="1" ht="18" customHeight="1" x14ac:dyDescent="0.25">
      <c r="C415" s="80"/>
      <c r="D415" s="1241" t="s">
        <v>307</v>
      </c>
      <c r="E415" s="1242"/>
      <c r="F415" s="1242"/>
      <c r="G415" s="1242"/>
      <c r="H415" s="1242"/>
      <c r="I415" s="1242"/>
      <c r="J415" s="1242"/>
      <c r="K415" s="1242"/>
      <c r="L415" s="1242"/>
      <c r="M415" s="1243"/>
      <c r="N415" s="1244">
        <f>SUM(F411:G414)+SUM(J411:K414)+SUM(N411:O414)</f>
        <v>4836</v>
      </c>
      <c r="O415" s="1244"/>
      <c r="P415" s="93"/>
    </row>
    <row r="416" spans="3:16" s="146" customFormat="1" ht="8.25" customHeight="1" x14ac:dyDescent="0.25">
      <c r="C416" s="80"/>
      <c r="D416" s="175"/>
      <c r="E416" s="175"/>
      <c r="F416" s="175"/>
      <c r="G416" s="175"/>
      <c r="H416" s="175"/>
      <c r="I416" s="175"/>
      <c r="J416" s="175"/>
      <c r="K416" s="175"/>
      <c r="L416" s="176"/>
      <c r="M416" s="1119" t="s">
        <v>440</v>
      </c>
      <c r="N416" s="1119"/>
      <c r="O416" s="1119"/>
      <c r="P416" s="1120"/>
    </row>
    <row r="417" spans="2:16" s="146" customFormat="1" ht="18.75" customHeight="1" thickBot="1" x14ac:dyDescent="0.3">
      <c r="C417" s="80"/>
      <c r="D417" s="1259" t="s">
        <v>289</v>
      </c>
      <c r="E417" s="1259"/>
      <c r="F417" s="1259"/>
      <c r="G417" s="179" t="s">
        <v>290</v>
      </c>
      <c r="H417" s="178">
        <f>M405</f>
        <v>372</v>
      </c>
      <c r="I417" s="176" t="str">
        <f>N402</f>
        <v>H</v>
      </c>
      <c r="J417" s="175"/>
      <c r="K417" s="175"/>
      <c r="L417" s="176"/>
      <c r="M417" s="1119"/>
      <c r="N417" s="1119"/>
      <c r="O417" s="1119"/>
      <c r="P417" s="1120"/>
    </row>
    <row r="418" spans="2:16" s="146" customFormat="1" ht="18" customHeight="1" x14ac:dyDescent="0.25">
      <c r="B418" s="31" t="s">
        <v>34</v>
      </c>
      <c r="C418" s="29"/>
      <c r="E418" s="30"/>
      <c r="F418" s="30"/>
      <c r="G418" s="1041" t="s">
        <v>343</v>
      </c>
      <c r="H418" s="1042"/>
      <c r="I418" s="1042"/>
      <c r="J418" s="1043"/>
      <c r="K418" s="1085">
        <f>'[27]MEMÓRIA DE CÁLCULO'!$K$419</f>
        <v>4320</v>
      </c>
      <c r="L418" s="1086"/>
      <c r="M418" s="1119"/>
      <c r="N418" s="1119"/>
      <c r="O418" s="1119"/>
      <c r="P418" s="1120"/>
    </row>
    <row r="419" spans="2:16" s="146" customFormat="1" ht="18" customHeight="1" x14ac:dyDescent="0.25">
      <c r="B419" s="31" t="str">
        <f>C402</f>
        <v>1.22</v>
      </c>
      <c r="C419" s="29"/>
      <c r="E419" s="30"/>
      <c r="F419" s="30"/>
      <c r="G419" s="1082" t="s">
        <v>344</v>
      </c>
      <c r="H419" s="1083"/>
      <c r="I419" s="1083"/>
      <c r="J419" s="1084"/>
      <c r="K419" s="1075">
        <f>K418+O402</f>
        <v>4320</v>
      </c>
      <c r="L419" s="1076"/>
      <c r="M419" s="1119"/>
      <c r="N419" s="1119"/>
      <c r="O419" s="1119"/>
      <c r="P419" s="1120"/>
    </row>
    <row r="420" spans="2:16" s="146" customFormat="1" ht="18" customHeight="1" x14ac:dyDescent="0.25">
      <c r="C420" s="29"/>
      <c r="D420" s="30"/>
      <c r="E420" s="30"/>
      <c r="F420" s="30"/>
      <c r="G420" s="1082" t="s">
        <v>345</v>
      </c>
      <c r="H420" s="1083"/>
      <c r="I420" s="1083"/>
      <c r="J420" s="1084"/>
      <c r="K420" s="1075">
        <f>VLOOKUP(C402,'[26]BM DETALHADO'!$B$13:$E$126,4,FALSE)</f>
        <v>4320</v>
      </c>
      <c r="L420" s="1076"/>
      <c r="M420" s="1119"/>
      <c r="N420" s="1119"/>
      <c r="O420" s="1119"/>
      <c r="P420" s="1120"/>
    </row>
    <row r="421" spans="2:16" s="146" customFormat="1" ht="18" customHeight="1" thickBot="1" x14ac:dyDescent="0.3">
      <c r="C421" s="29"/>
      <c r="D421" s="30"/>
      <c r="E421" s="30"/>
      <c r="F421" s="30"/>
      <c r="G421" s="1077" t="s">
        <v>346</v>
      </c>
      <c r="H421" s="1078"/>
      <c r="I421" s="1078"/>
      <c r="J421" s="1079"/>
      <c r="K421" s="1068">
        <f>K420-K419</f>
        <v>0</v>
      </c>
      <c r="L421" s="1069"/>
      <c r="M421" s="1119"/>
      <c r="N421" s="1119"/>
      <c r="O421" s="1119"/>
      <c r="P421" s="1120"/>
    </row>
    <row r="422" spans="2:16" s="146" customFormat="1" ht="9.9499999999999993" customHeight="1" thickBot="1" x14ac:dyDescent="0.3">
      <c r="C422" s="21"/>
      <c r="D422" s="22"/>
      <c r="E422" s="22"/>
      <c r="F422" s="22"/>
      <c r="G422" s="360"/>
      <c r="H422" s="360"/>
      <c r="I422" s="360"/>
      <c r="J422" s="360"/>
      <c r="K422" s="361"/>
      <c r="L422" s="361"/>
      <c r="M422" s="1121"/>
      <c r="N422" s="1121"/>
      <c r="O422" s="1121"/>
      <c r="P422" s="1122"/>
    </row>
    <row r="423" spans="2:16" s="146" customFormat="1" ht="18" customHeight="1" x14ac:dyDescent="0.25">
      <c r="C423" s="20" t="s">
        <v>34</v>
      </c>
      <c r="D423" s="1052" t="s">
        <v>35</v>
      </c>
      <c r="E423" s="1053"/>
      <c r="F423" s="1053"/>
      <c r="G423" s="1053"/>
      <c r="H423" s="1053"/>
      <c r="I423" s="1053"/>
      <c r="J423" s="1053"/>
      <c r="K423" s="1053"/>
      <c r="L423" s="1053"/>
      <c r="M423" s="1054"/>
      <c r="N423" s="145" t="s">
        <v>0</v>
      </c>
      <c r="O423" s="1107" t="s">
        <v>4</v>
      </c>
      <c r="P423" s="1108"/>
    </row>
    <row r="424" spans="2:16" s="146" customFormat="1" ht="69.95" customHeight="1" thickBot="1" x14ac:dyDescent="0.3">
      <c r="C424" s="85" t="s">
        <v>61</v>
      </c>
      <c r="D424" s="1070" t="str">
        <f>VLOOKUP(C424,'BM DETALHADO'!$B$13:$D$126,2,FALSE)</f>
        <v>ESCORAMENTO CONTINUO TIPO B</v>
      </c>
      <c r="E424" s="1071"/>
      <c r="F424" s="1071"/>
      <c r="G424" s="1071"/>
      <c r="H424" s="1071"/>
      <c r="I424" s="1071"/>
      <c r="J424" s="1071"/>
      <c r="K424" s="1071"/>
      <c r="L424" s="1071"/>
      <c r="M424" s="1072"/>
      <c r="N424" s="19" t="str">
        <f>VLOOKUP(C424,'BM DETALHADO'!$B$13:$D$126,3,FALSE)</f>
        <v>M2</v>
      </c>
      <c r="O424" s="1109"/>
      <c r="P424" s="1110"/>
    </row>
    <row r="425" spans="2:16" s="146" customFormat="1" ht="9.9499999999999993" customHeight="1" x14ac:dyDescent="0.25">
      <c r="C425" s="77"/>
      <c r="D425" s="78"/>
      <c r="E425" s="79"/>
      <c r="F425" s="79"/>
      <c r="G425" s="79"/>
      <c r="H425" s="79"/>
      <c r="I425" s="79"/>
      <c r="J425" s="79"/>
      <c r="K425" s="79"/>
      <c r="L425" s="79"/>
      <c r="M425" s="79"/>
      <c r="N425" s="79"/>
      <c r="O425" s="91"/>
      <c r="P425" s="92"/>
    </row>
    <row r="426" spans="2:16" s="146" customFormat="1" ht="18" customHeight="1" x14ac:dyDescent="0.25">
      <c r="C426" s="336"/>
      <c r="D426" s="219"/>
      <c r="E426" s="219"/>
      <c r="F426" s="219"/>
      <c r="G426" s="219"/>
      <c r="H426" s="219"/>
      <c r="I426" s="219"/>
      <c r="J426" s="219"/>
      <c r="K426" s="219"/>
      <c r="L426" s="219"/>
      <c r="M426" s="219"/>
      <c r="N426" s="219"/>
      <c r="O426" s="309"/>
      <c r="P426" s="213"/>
    </row>
    <row r="427" spans="2:16" s="146" customFormat="1" ht="18" customHeight="1" x14ac:dyDescent="0.25">
      <c r="C427" s="336"/>
      <c r="D427" s="675" t="s">
        <v>349</v>
      </c>
      <c r="E427" s="675" t="s">
        <v>309</v>
      </c>
      <c r="F427" s="675" t="s">
        <v>328</v>
      </c>
      <c r="G427" s="675" t="s">
        <v>291</v>
      </c>
      <c r="H427" s="335"/>
      <c r="I427" s="335"/>
      <c r="J427" s="335"/>
      <c r="K427" s="335"/>
      <c r="L427" s="335"/>
      <c r="M427" s="335"/>
      <c r="N427" s="335"/>
      <c r="O427" s="214"/>
      <c r="P427" s="213"/>
    </row>
    <row r="428" spans="2:16" s="146" customFormat="1" ht="18" customHeight="1" x14ac:dyDescent="0.25">
      <c r="C428" s="662"/>
      <c r="D428" s="692" t="s">
        <v>441</v>
      </c>
      <c r="E428" s="672">
        <f>1.1+1.1+1.1+1.1</f>
        <v>4.4000000000000004</v>
      </c>
      <c r="F428" s="672">
        <v>2.5</v>
      </c>
      <c r="G428" s="672">
        <f>E428*F428</f>
        <v>11</v>
      </c>
      <c r="H428" s="663"/>
      <c r="I428" s="663"/>
      <c r="J428" s="298"/>
      <c r="K428" s="733"/>
      <c r="L428" s="733"/>
      <c r="M428" s="733"/>
      <c r="N428" s="733"/>
      <c r="O428" s="733"/>
      <c r="P428" s="488"/>
    </row>
    <row r="429" spans="2:16" s="146" customFormat="1" ht="18" customHeight="1" x14ac:dyDescent="0.25">
      <c r="C429" s="662"/>
      <c r="D429" s="691" t="s">
        <v>444</v>
      </c>
      <c r="E429" s="673">
        <f>1.5+1.5+1.5+1.5</f>
        <v>6</v>
      </c>
      <c r="F429" s="673">
        <v>1.8</v>
      </c>
      <c r="G429" s="673">
        <f>E429*F429</f>
        <v>10.8</v>
      </c>
      <c r="H429" s="663"/>
      <c r="I429" s="663"/>
      <c r="J429" s="661"/>
      <c r="K429" s="733"/>
      <c r="L429" s="733"/>
      <c r="M429" s="733"/>
      <c r="N429" s="733"/>
      <c r="O429" s="733"/>
      <c r="P429" s="271"/>
    </row>
    <row r="430" spans="2:16" s="146" customFormat="1" ht="18" customHeight="1" x14ac:dyDescent="0.25">
      <c r="C430" s="662"/>
      <c r="D430" s="691" t="s">
        <v>442</v>
      </c>
      <c r="E430" s="673">
        <f>1.2+1.2+1.2+1.2</f>
        <v>4.8</v>
      </c>
      <c r="F430" s="673">
        <v>2.6</v>
      </c>
      <c r="G430" s="673">
        <f t="shared" ref="G430:G432" si="0">E430*F430</f>
        <v>12.48</v>
      </c>
      <c r="H430" s="663"/>
      <c r="I430" s="663"/>
      <c r="J430" s="661"/>
      <c r="K430" s="733"/>
      <c r="L430" s="733"/>
      <c r="M430" s="733"/>
      <c r="N430" s="733"/>
      <c r="O430" s="733"/>
      <c r="P430" s="271"/>
    </row>
    <row r="431" spans="2:16" s="146" customFormat="1" ht="18" customHeight="1" x14ac:dyDescent="0.25">
      <c r="C431" s="662"/>
      <c r="D431" s="691" t="s">
        <v>443</v>
      </c>
      <c r="E431" s="673">
        <f>1.2+1.2+1.3+1.3</f>
        <v>5</v>
      </c>
      <c r="F431" s="732">
        <v>2.8</v>
      </c>
      <c r="G431" s="673">
        <f t="shared" si="0"/>
        <v>14</v>
      </c>
      <c r="H431" s="663"/>
      <c r="I431" s="663"/>
      <c r="J431" s="661"/>
      <c r="K431" s="733"/>
      <c r="L431" s="733"/>
      <c r="M431" s="733"/>
      <c r="N431" s="733"/>
      <c r="O431" s="733"/>
      <c r="P431" s="271"/>
    </row>
    <row r="432" spans="2:16" s="146" customFormat="1" ht="18" customHeight="1" x14ac:dyDescent="0.25">
      <c r="C432" s="662"/>
      <c r="D432" s="1035" t="s">
        <v>445</v>
      </c>
      <c r="E432" s="1050">
        <f>1+1+1+1</f>
        <v>4</v>
      </c>
      <c r="F432" s="1385">
        <v>2.5499999999999998</v>
      </c>
      <c r="G432" s="1050">
        <f t="shared" si="0"/>
        <v>10.199999999999999</v>
      </c>
      <c r="H432" s="663"/>
      <c r="I432" s="663"/>
      <c r="J432" s="661"/>
      <c r="K432" s="733"/>
      <c r="L432" s="733"/>
      <c r="M432" s="733"/>
      <c r="N432" s="733"/>
      <c r="O432" s="733"/>
      <c r="P432" s="271"/>
    </row>
    <row r="433" spans="3:16" s="146" customFormat="1" ht="18" customHeight="1" x14ac:dyDescent="0.25">
      <c r="C433" s="662"/>
      <c r="D433" s="1036"/>
      <c r="E433" s="1051"/>
      <c r="F433" s="1386"/>
      <c r="G433" s="1051"/>
      <c r="H433" s="663"/>
      <c r="I433" s="663"/>
      <c r="J433" s="661"/>
      <c r="K433" s="733"/>
      <c r="L433" s="733"/>
      <c r="M433" s="733"/>
      <c r="N433" s="733"/>
      <c r="O433" s="733"/>
      <c r="P433" s="271"/>
    </row>
    <row r="434" spans="3:16" s="146" customFormat="1" ht="18" customHeight="1" x14ac:dyDescent="0.25">
      <c r="C434" s="662"/>
      <c r="D434" s="1022" t="s">
        <v>19</v>
      </c>
      <c r="E434" s="1022"/>
      <c r="F434" s="1022"/>
      <c r="G434" s="472">
        <f>SUM(G428:G433)</f>
        <v>58.480000000000004</v>
      </c>
      <c r="H434" s="663"/>
      <c r="I434" s="663"/>
      <c r="J434" s="211"/>
      <c r="K434" s="733"/>
      <c r="L434" s="733"/>
      <c r="M434" s="733"/>
      <c r="N434" s="733"/>
      <c r="O434" s="733"/>
      <c r="P434" s="271"/>
    </row>
    <row r="435" spans="3:16" s="146" customFormat="1" ht="18" customHeight="1" x14ac:dyDescent="0.25">
      <c r="C435" s="662"/>
      <c r="D435" s="663"/>
      <c r="E435" s="663"/>
      <c r="F435" s="663"/>
      <c r="G435" s="663"/>
      <c r="H435" s="663"/>
      <c r="I435" s="663"/>
      <c r="J435" s="353"/>
      <c r="K435" s="733"/>
      <c r="L435" s="733"/>
      <c r="M435" s="733"/>
      <c r="N435" s="733"/>
      <c r="O435" s="733"/>
      <c r="P435" s="489"/>
    </row>
    <row r="436" spans="3:16" s="146" customFormat="1" ht="18" customHeight="1" x14ac:dyDescent="0.25">
      <c r="C436" s="237"/>
      <c r="D436" s="473"/>
      <c r="E436" s="477"/>
      <c r="F436" s="477"/>
      <c r="G436" s="477"/>
      <c r="H436" s="1229"/>
      <c r="I436" s="1229"/>
      <c r="J436" s="353"/>
      <c r="K436" s="353"/>
      <c r="L436" s="335"/>
      <c r="M436" s="214"/>
      <c r="N436" s="335"/>
      <c r="O436" s="309"/>
      <c r="P436" s="213"/>
    </row>
    <row r="437" spans="3:16" s="146" customFormat="1" ht="18" customHeight="1" x14ac:dyDescent="0.25">
      <c r="C437" s="237"/>
      <c r="D437" s="473"/>
      <c r="E437" s="477"/>
      <c r="F437" s="477"/>
      <c r="G437" s="477"/>
      <c r="H437" s="1229"/>
      <c r="I437" s="1229"/>
      <c r="J437" s="353"/>
      <c r="K437" s="353"/>
      <c r="L437" s="335"/>
      <c r="M437" s="214"/>
      <c r="N437" s="335"/>
      <c r="O437" s="309"/>
      <c r="P437" s="213"/>
    </row>
    <row r="438" spans="3:16" s="146" customFormat="1" ht="18" customHeight="1" x14ac:dyDescent="0.25">
      <c r="C438" s="423"/>
      <c r="D438" s="415"/>
      <c r="E438" s="415"/>
      <c r="F438" s="415"/>
      <c r="G438" s="416"/>
      <c r="H438" s="416"/>
      <c r="I438" s="416"/>
      <c r="J438" s="416"/>
      <c r="K438" s="417"/>
      <c r="L438" s="417"/>
      <c r="M438" s="1123" t="s">
        <v>451</v>
      </c>
      <c r="N438" s="1123"/>
      <c r="O438" s="1123"/>
      <c r="P438" s="1124"/>
    </row>
    <row r="439" spans="3:16" s="146" customFormat="1" ht="18" customHeight="1" thickBot="1" x14ac:dyDescent="0.3">
      <c r="C439" s="423"/>
      <c r="D439" s="415"/>
      <c r="E439" s="415"/>
      <c r="F439" s="415"/>
      <c r="G439" s="416"/>
      <c r="H439" s="416"/>
      <c r="I439" s="416"/>
      <c r="J439" s="416"/>
      <c r="K439" s="417"/>
      <c r="L439" s="417"/>
      <c r="M439" s="1123"/>
      <c r="N439" s="1123"/>
      <c r="O439" s="1123"/>
      <c r="P439" s="1124"/>
    </row>
    <row r="440" spans="3:16" s="146" customFormat="1" ht="18" customHeight="1" x14ac:dyDescent="0.25">
      <c r="C440" s="423"/>
      <c r="D440" s="415"/>
      <c r="E440" s="415"/>
      <c r="F440" s="415"/>
      <c r="G440" s="1041" t="s">
        <v>343</v>
      </c>
      <c r="H440" s="1042"/>
      <c r="I440" s="1042"/>
      <c r="J440" s="1043"/>
      <c r="K440" s="1085">
        <f>'[27]MEMÓRIA DE CÁLCULO'!$K$441</f>
        <v>199.99759999999998</v>
      </c>
      <c r="L440" s="1086"/>
      <c r="M440" s="1123"/>
      <c r="N440" s="1123"/>
      <c r="O440" s="1123"/>
      <c r="P440" s="1124"/>
    </row>
    <row r="441" spans="3:16" s="146" customFormat="1" ht="18" customHeight="1" x14ac:dyDescent="0.25">
      <c r="C441" s="423"/>
      <c r="D441" s="415"/>
      <c r="E441" s="415"/>
      <c r="F441" s="415"/>
      <c r="G441" s="1082" t="s">
        <v>344</v>
      </c>
      <c r="H441" s="1083"/>
      <c r="I441" s="1083"/>
      <c r="J441" s="1084"/>
      <c r="K441" s="1075">
        <f>K440+O424</f>
        <v>199.99759999999998</v>
      </c>
      <c r="L441" s="1076"/>
      <c r="M441" s="1123"/>
      <c r="N441" s="1123"/>
      <c r="O441" s="1123"/>
      <c r="P441" s="1124"/>
    </row>
    <row r="442" spans="3:16" s="146" customFormat="1" ht="18" customHeight="1" x14ac:dyDescent="0.25">
      <c r="C442" s="423"/>
      <c r="D442" s="415"/>
      <c r="E442" s="415"/>
      <c r="F442" s="415"/>
      <c r="G442" s="1082" t="s">
        <v>345</v>
      </c>
      <c r="H442" s="1083"/>
      <c r="I442" s="1083"/>
      <c r="J442" s="1084"/>
      <c r="K442" s="1075">
        <f>'BM DETALHADO'!E37</f>
        <v>200</v>
      </c>
      <c r="L442" s="1076"/>
      <c r="M442" s="1123"/>
      <c r="N442" s="1123"/>
      <c r="O442" s="1123"/>
      <c r="P442" s="1124"/>
    </row>
    <row r="443" spans="3:16" s="146" customFormat="1" ht="18" customHeight="1" thickBot="1" x14ac:dyDescent="0.3">
      <c r="C443" s="423"/>
      <c r="D443" s="415"/>
      <c r="E443" s="415"/>
      <c r="F443" s="415"/>
      <c r="G443" s="1077" t="s">
        <v>346</v>
      </c>
      <c r="H443" s="1078"/>
      <c r="I443" s="1078"/>
      <c r="J443" s="1079"/>
      <c r="K443" s="1068">
        <f>K442-K441</f>
        <v>2.4000000000228283E-3</v>
      </c>
      <c r="L443" s="1069"/>
      <c r="M443" s="1123"/>
      <c r="N443" s="1123"/>
      <c r="O443" s="1123"/>
      <c r="P443" s="1124"/>
    </row>
    <row r="444" spans="3:16" s="146" customFormat="1" ht="18" customHeight="1" x14ac:dyDescent="0.25">
      <c r="C444" s="423"/>
      <c r="D444" s="415"/>
      <c r="E444" s="415"/>
      <c r="F444" s="415"/>
      <c r="G444" s="416"/>
      <c r="H444" s="416"/>
      <c r="I444" s="416"/>
      <c r="J444" s="416"/>
      <c r="K444" s="417"/>
      <c r="L444" s="417"/>
      <c r="M444" s="1123"/>
      <c r="N444" s="1123"/>
      <c r="O444" s="1123"/>
      <c r="P444" s="1124"/>
    </row>
    <row r="445" spans="3:16" s="146" customFormat="1" ht="9.9499999999999993" customHeight="1" thickBot="1" x14ac:dyDescent="0.3">
      <c r="C445" s="21"/>
      <c r="D445" s="418"/>
      <c r="E445" s="418"/>
      <c r="F445" s="418"/>
      <c r="G445" s="419"/>
      <c r="H445" s="419"/>
      <c r="I445" s="419"/>
      <c r="J445" s="419"/>
      <c r="K445" s="420"/>
      <c r="L445" s="420"/>
      <c r="M445" s="418"/>
      <c r="N445" s="418"/>
      <c r="O445" s="421"/>
      <c r="P445" s="422"/>
    </row>
    <row r="446" spans="3:16" s="146" customFormat="1" ht="18" hidden="1" customHeight="1" x14ac:dyDescent="0.25">
      <c r="C446" s="20" t="s">
        <v>34</v>
      </c>
      <c r="D446" s="1052" t="s">
        <v>35</v>
      </c>
      <c r="E446" s="1053"/>
      <c r="F446" s="1053"/>
      <c r="G446" s="1053"/>
      <c r="H446" s="1053"/>
      <c r="I446" s="1053"/>
      <c r="J446" s="1053"/>
      <c r="K446" s="1053"/>
      <c r="L446" s="1053"/>
      <c r="M446" s="1054"/>
      <c r="N446" s="145" t="s">
        <v>0</v>
      </c>
      <c r="O446" s="1107" t="s">
        <v>4</v>
      </c>
      <c r="P446" s="1108"/>
    </row>
    <row r="447" spans="3:16" s="146" customFormat="1" ht="69.95" hidden="1" customHeight="1" thickBot="1" x14ac:dyDescent="0.3">
      <c r="C447" s="85" t="s">
        <v>62</v>
      </c>
      <c r="D447" s="1070" t="str">
        <f>VLOOKUP(C447,'BM DETALHADO'!$B$13:$D$126,2,FALSE)</f>
        <v>FAIXA PLOTADA ADESIVADA PARA SINALIZAÇÃO DE TAPUME</v>
      </c>
      <c r="E447" s="1071"/>
      <c r="F447" s="1071"/>
      <c r="G447" s="1071"/>
      <c r="H447" s="1071"/>
      <c r="I447" s="1071"/>
      <c r="J447" s="1071"/>
      <c r="K447" s="1071"/>
      <c r="L447" s="1071"/>
      <c r="M447" s="1072"/>
      <c r="N447" s="19" t="str">
        <f>VLOOKUP(C447,'BM DETALHADO'!$B$13:$D$126,3,FALSE)</f>
        <v>M2</v>
      </c>
      <c r="O447" s="1109"/>
      <c r="P447" s="1110"/>
    </row>
    <row r="448" spans="3:16" s="146" customFormat="1" ht="9.9499999999999993" hidden="1" customHeight="1" x14ac:dyDescent="0.25">
      <c r="C448" s="77"/>
      <c r="D448" s="78"/>
      <c r="E448" s="79"/>
      <c r="F448" s="79"/>
      <c r="G448" s="79"/>
      <c r="H448" s="79"/>
      <c r="I448" s="79"/>
      <c r="J448" s="79"/>
      <c r="K448" s="79"/>
      <c r="L448" s="79"/>
      <c r="M448" s="79"/>
      <c r="N448" s="79"/>
      <c r="O448" s="91"/>
      <c r="P448" s="92"/>
    </row>
    <row r="449" spans="3:16" s="146" customFormat="1" ht="18" hidden="1" customHeight="1" x14ac:dyDescent="0.2">
      <c r="C449" s="336"/>
      <c r="D449" s="239"/>
      <c r="E449" s="239"/>
      <c r="F449" s="239"/>
      <c r="G449" s="334"/>
      <c r="H449" s="245"/>
      <c r="I449" s="255"/>
      <c r="J449" s="334"/>
      <c r="K449" s="239"/>
      <c r="L449" s="239"/>
      <c r="M449" s="239"/>
      <c r="N449" s="239"/>
      <c r="O449" s="81"/>
      <c r="P449" s="93"/>
    </row>
    <row r="450" spans="3:16" s="146" customFormat="1" ht="6" hidden="1" customHeight="1" thickBot="1" x14ac:dyDescent="0.25">
      <c r="C450" s="336"/>
      <c r="D450" s="239"/>
      <c r="E450" s="239"/>
      <c r="F450" s="239"/>
      <c r="G450" s="334"/>
      <c r="H450" s="245"/>
      <c r="I450" s="246"/>
      <c r="J450" s="247"/>
      <c r="K450" s="334"/>
      <c r="L450" s="334"/>
      <c r="M450" s="334"/>
      <c r="N450" s="334"/>
      <c r="O450" s="94"/>
      <c r="P450" s="93"/>
    </row>
    <row r="451" spans="3:16" s="146" customFormat="1" ht="18" hidden="1" customHeight="1" x14ac:dyDescent="0.25">
      <c r="C451" s="202"/>
      <c r="D451" s="239"/>
      <c r="E451" s="239"/>
      <c r="F451" s="239"/>
      <c r="G451" s="1041" t="s">
        <v>343</v>
      </c>
      <c r="H451" s="1042"/>
      <c r="I451" s="1042"/>
      <c r="J451" s="1043"/>
      <c r="K451" s="1085">
        <f>'BM DETALHADO'!J38</f>
        <v>138.62</v>
      </c>
      <c r="L451" s="1086"/>
      <c r="M451" s="248"/>
      <c r="N451" s="248"/>
      <c r="O451" s="169"/>
      <c r="P451" s="93"/>
    </row>
    <row r="452" spans="3:16" s="146" customFormat="1" ht="18" hidden="1" customHeight="1" x14ac:dyDescent="0.25">
      <c r="C452" s="202"/>
      <c r="D452" s="239"/>
      <c r="E452" s="239"/>
      <c r="F452" s="239"/>
      <c r="G452" s="1082" t="s">
        <v>344</v>
      </c>
      <c r="H452" s="1083"/>
      <c r="I452" s="1083"/>
      <c r="J452" s="1084"/>
      <c r="K452" s="1075">
        <f>K451+O435</f>
        <v>138.62</v>
      </c>
      <c r="L452" s="1076"/>
      <c r="M452" s="248"/>
      <c r="N452" s="248"/>
      <c r="O452" s="169"/>
      <c r="P452" s="93"/>
    </row>
    <row r="453" spans="3:16" s="146" customFormat="1" ht="18" hidden="1" customHeight="1" x14ac:dyDescent="0.25">
      <c r="C453" s="202"/>
      <c r="D453" s="239"/>
      <c r="E453" s="239"/>
      <c r="F453" s="239"/>
      <c r="G453" s="1082" t="s">
        <v>345</v>
      </c>
      <c r="H453" s="1083"/>
      <c r="I453" s="1083"/>
      <c r="J453" s="1084"/>
      <c r="K453" s="1075">
        <f>'BM DETALHADO'!E38</f>
        <v>162.54</v>
      </c>
      <c r="L453" s="1076"/>
      <c r="M453" s="248"/>
      <c r="N453" s="248"/>
      <c r="O453" s="169"/>
      <c r="P453" s="93"/>
    </row>
    <row r="454" spans="3:16" s="146" customFormat="1" ht="18" hidden="1" customHeight="1" thickBot="1" x14ac:dyDescent="0.3">
      <c r="C454" s="202"/>
      <c r="D454" s="239"/>
      <c r="E454" s="239"/>
      <c r="F454" s="239"/>
      <c r="G454" s="1077" t="s">
        <v>346</v>
      </c>
      <c r="H454" s="1078"/>
      <c r="I454" s="1078"/>
      <c r="J454" s="1079"/>
      <c r="K454" s="1068">
        <f>K453-K452</f>
        <v>23.919999999999987</v>
      </c>
      <c r="L454" s="1069"/>
      <c r="M454" s="248"/>
      <c r="N454" s="248"/>
      <c r="O454" s="169"/>
      <c r="P454" s="93"/>
    </row>
    <row r="455" spans="3:16" s="146" customFormat="1" ht="18" hidden="1" customHeight="1" x14ac:dyDescent="0.2">
      <c r="C455" s="202"/>
      <c r="D455" s="239"/>
      <c r="E455" s="334"/>
      <c r="F455" s="334"/>
      <c r="G455" s="334"/>
      <c r="H455" s="245"/>
      <c r="I455" s="334"/>
      <c r="J455" s="334"/>
      <c r="K455" s="246"/>
      <c r="L455" s="247"/>
      <c r="M455" s="248"/>
      <c r="N455" s="248"/>
      <c r="O455" s="169"/>
      <c r="P455" s="93"/>
    </row>
    <row r="456" spans="3:16" s="146" customFormat="1" ht="6" hidden="1" customHeight="1" thickBot="1" x14ac:dyDescent="0.25">
      <c r="C456" s="80"/>
      <c r="D456" s="249"/>
      <c r="E456" s="249"/>
      <c r="F456" s="249"/>
      <c r="G456" s="334"/>
      <c r="H456" s="245"/>
      <c r="I456" s="249"/>
      <c r="J456" s="249"/>
      <c r="K456" s="334"/>
      <c r="L456" s="334"/>
      <c r="M456" s="334"/>
      <c r="N456" s="334"/>
      <c r="O456" s="94"/>
      <c r="P456" s="93"/>
    </row>
    <row r="457" spans="3:16" s="146" customFormat="1" ht="18" hidden="1" customHeight="1" x14ac:dyDescent="0.25">
      <c r="C457" s="20" t="s">
        <v>34</v>
      </c>
      <c r="D457" s="1052" t="s">
        <v>35</v>
      </c>
      <c r="E457" s="1053"/>
      <c r="F457" s="1053"/>
      <c r="G457" s="1053"/>
      <c r="H457" s="1053"/>
      <c r="I457" s="1053"/>
      <c r="J457" s="1053"/>
      <c r="K457" s="1053"/>
      <c r="L457" s="1053"/>
      <c r="M457" s="1054"/>
      <c r="N457" s="145" t="s">
        <v>0</v>
      </c>
      <c r="O457" s="1107" t="s">
        <v>4</v>
      </c>
      <c r="P457" s="1108"/>
    </row>
    <row r="458" spans="3:16" s="146" customFormat="1" ht="69.95" hidden="1" customHeight="1" thickBot="1" x14ac:dyDescent="0.3">
      <c r="C458" s="85" t="s">
        <v>131</v>
      </c>
      <c r="D458" s="1070" t="str">
        <f>VLOOKUP(C458,'BM DETALHADO'!$B$13:$D$126,2,FALSE)</f>
        <v>LIGAÇÃO PROVISÓRIA DE ÁGUA E ESGOTO PARA CONTAINER (VESTIÁRIO DE OBRA), EXCLUSIVE CHUVEIRO ELÉTRICO</v>
      </c>
      <c r="E458" s="1071"/>
      <c r="F458" s="1071"/>
      <c r="G458" s="1071"/>
      <c r="H458" s="1071"/>
      <c r="I458" s="1071"/>
      <c r="J458" s="1071"/>
      <c r="K458" s="1071"/>
      <c r="L458" s="1071"/>
      <c r="M458" s="1072"/>
      <c r="N458" s="19" t="str">
        <f>VLOOKUP(C458,'BM DETALHADO'!$B$13:$D$126,3,FALSE)</f>
        <v>UNID</v>
      </c>
      <c r="O458" s="1109"/>
      <c r="P458" s="1110"/>
    </row>
    <row r="459" spans="3:16" s="146" customFormat="1" ht="9.9499999999999993" hidden="1" customHeight="1" x14ac:dyDescent="0.25">
      <c r="C459" s="77"/>
      <c r="D459" s="78"/>
      <c r="E459" s="79"/>
      <c r="F459" s="79"/>
      <c r="G459" s="79"/>
      <c r="H459" s="79"/>
      <c r="I459" s="79"/>
      <c r="J459" s="79"/>
      <c r="K459" s="79"/>
      <c r="L459" s="79"/>
      <c r="M459" s="79"/>
      <c r="N459" s="79"/>
      <c r="O459" s="91"/>
      <c r="P459" s="92"/>
    </row>
    <row r="460" spans="3:16" s="146" customFormat="1" ht="18" hidden="1" customHeight="1" x14ac:dyDescent="0.25">
      <c r="C460" s="336"/>
      <c r="D460" s="370"/>
      <c r="E460" s="370"/>
      <c r="F460" s="370"/>
      <c r="G460" s="370"/>
      <c r="H460" s="370"/>
      <c r="I460" s="370"/>
      <c r="J460" s="338"/>
      <c r="K460" s="208"/>
      <c r="L460" s="328"/>
      <c r="M460" s="81"/>
      <c r="N460" s="169"/>
      <c r="O460" s="343"/>
      <c r="P460" s="93"/>
    </row>
    <row r="461" spans="3:16" s="146" customFormat="1" ht="6" hidden="1" customHeight="1" thickBot="1" x14ac:dyDescent="0.3">
      <c r="C461" s="336"/>
      <c r="D461" s="333"/>
      <c r="E461" s="333"/>
      <c r="F461" s="333"/>
      <c r="G461" s="333"/>
      <c r="H461" s="330"/>
      <c r="I461" s="330"/>
      <c r="J461" s="330"/>
      <c r="K461" s="330"/>
      <c r="L461" s="330"/>
      <c r="M461" s="330"/>
      <c r="N461" s="330"/>
      <c r="O461" s="94"/>
      <c r="P461" s="93"/>
    </row>
    <row r="462" spans="3:16" s="146" customFormat="1" ht="18" hidden="1" customHeight="1" x14ac:dyDescent="0.25">
      <c r="C462" s="202"/>
      <c r="D462" s="81"/>
      <c r="E462" s="81"/>
      <c r="F462" s="81"/>
      <c r="G462" s="1041" t="s">
        <v>343</v>
      </c>
      <c r="H462" s="1042"/>
      <c r="I462" s="1042"/>
      <c r="J462" s="1043"/>
      <c r="K462" s="1085">
        <f>'BM DETALHADO'!J39</f>
        <v>1</v>
      </c>
      <c r="L462" s="1086"/>
      <c r="M462" s="169"/>
      <c r="N462" s="169"/>
      <c r="O462" s="169"/>
      <c r="P462" s="93"/>
    </row>
    <row r="463" spans="3:16" s="146" customFormat="1" ht="18" hidden="1" customHeight="1" x14ac:dyDescent="0.25">
      <c r="C463" s="202"/>
      <c r="D463" s="81"/>
      <c r="E463" s="81"/>
      <c r="F463" s="81"/>
      <c r="G463" s="1082" t="s">
        <v>344</v>
      </c>
      <c r="H463" s="1083"/>
      <c r="I463" s="1083"/>
      <c r="J463" s="1084"/>
      <c r="K463" s="1075">
        <f>K462+O458</f>
        <v>1</v>
      </c>
      <c r="L463" s="1076"/>
      <c r="M463" s="169"/>
      <c r="N463" s="169"/>
      <c r="O463" s="169"/>
      <c r="P463" s="93"/>
    </row>
    <row r="464" spans="3:16" s="146" customFormat="1" ht="18" hidden="1" customHeight="1" x14ac:dyDescent="0.25">
      <c r="C464" s="202"/>
      <c r="D464" s="81"/>
      <c r="E464" s="81"/>
      <c r="F464" s="81"/>
      <c r="G464" s="1082" t="s">
        <v>345</v>
      </c>
      <c r="H464" s="1083"/>
      <c r="I464" s="1083"/>
      <c r="J464" s="1084"/>
      <c r="K464" s="1075">
        <f>'BM DETALHADO'!E39</f>
        <v>1</v>
      </c>
      <c r="L464" s="1076"/>
      <c r="M464" s="169"/>
      <c r="N464" s="169"/>
      <c r="O464" s="169"/>
      <c r="P464" s="93"/>
    </row>
    <row r="465" spans="2:16" s="146" customFormat="1" ht="18" hidden="1" customHeight="1" thickBot="1" x14ac:dyDescent="0.3">
      <c r="C465" s="202"/>
      <c r="D465" s="81"/>
      <c r="E465" s="81"/>
      <c r="F465" s="81"/>
      <c r="G465" s="1077" t="s">
        <v>346</v>
      </c>
      <c r="H465" s="1078"/>
      <c r="I465" s="1078"/>
      <c r="J465" s="1079"/>
      <c r="K465" s="1068">
        <f>K464-K463</f>
        <v>0</v>
      </c>
      <c r="L465" s="1069"/>
      <c r="M465" s="169"/>
      <c r="N465" s="169"/>
      <c r="O465" s="169"/>
      <c r="P465" s="93"/>
    </row>
    <row r="466" spans="2:16" s="146" customFormat="1" ht="18" hidden="1" customHeight="1" x14ac:dyDescent="0.25">
      <c r="C466" s="202"/>
      <c r="D466" s="81"/>
      <c r="E466" s="81"/>
      <c r="F466" s="81"/>
      <c r="G466" s="81"/>
      <c r="H466" s="81"/>
      <c r="I466" s="167"/>
      <c r="J466" s="168"/>
      <c r="K466" s="167"/>
      <c r="L466" s="168"/>
      <c r="M466" s="169"/>
      <c r="N466" s="169"/>
      <c r="O466" s="169"/>
      <c r="P466" s="93"/>
    </row>
    <row r="467" spans="2:16" s="146" customFormat="1" ht="6" hidden="1" customHeight="1" thickBot="1" x14ac:dyDescent="0.3">
      <c r="C467" s="80"/>
      <c r="D467" s="81"/>
      <c r="E467" s="330"/>
      <c r="F467" s="330"/>
      <c r="G467" s="330"/>
      <c r="H467" s="330"/>
      <c r="I467" s="330"/>
      <c r="J467" s="330"/>
      <c r="K467" s="330"/>
      <c r="L467" s="330"/>
      <c r="M467" s="330"/>
      <c r="N467" s="330"/>
      <c r="O467" s="94"/>
      <c r="P467" s="93"/>
    </row>
    <row r="468" spans="2:16" s="146" customFormat="1" ht="18" hidden="1" customHeight="1" x14ac:dyDescent="0.25">
      <c r="C468" s="20" t="s">
        <v>34</v>
      </c>
      <c r="D468" s="1052" t="s">
        <v>35</v>
      </c>
      <c r="E468" s="1053"/>
      <c r="F468" s="1053"/>
      <c r="G468" s="1053"/>
      <c r="H468" s="1053"/>
      <c r="I468" s="1053"/>
      <c r="J468" s="1053"/>
      <c r="K468" s="1053"/>
      <c r="L468" s="1053"/>
      <c r="M468" s="1054"/>
      <c r="N468" s="145" t="s">
        <v>0</v>
      </c>
      <c r="O468" s="1107" t="s">
        <v>4</v>
      </c>
      <c r="P468" s="1108"/>
    </row>
    <row r="469" spans="2:16" s="146" customFormat="1" ht="69.95" hidden="1" customHeight="1" thickBot="1" x14ac:dyDescent="0.3">
      <c r="C469" s="261" t="s">
        <v>142</v>
      </c>
      <c r="D469" s="1129" t="str">
        <f>VLOOKUP(C469,'BM DETALHADO'!$B$13:$D$126,2,FALSE)</f>
        <v>EXTINTOR DE INCENDIO PORTATIL COM CARGA DE AGUA PRESSURIZADA DE 10 L, CLASSE A</v>
      </c>
      <c r="E469" s="1130"/>
      <c r="F469" s="1130"/>
      <c r="G469" s="1130"/>
      <c r="H469" s="1130"/>
      <c r="I469" s="1130"/>
      <c r="J469" s="1130"/>
      <c r="K469" s="1130"/>
      <c r="L469" s="1130"/>
      <c r="M469" s="1131"/>
      <c r="N469" s="262">
        <f>VLOOKUP(C469,'BM DETALHADO'!$B$13:$D$126,3,FALSE)</f>
        <v>0</v>
      </c>
      <c r="O469" s="1223"/>
      <c r="P469" s="1224"/>
    </row>
    <row r="470" spans="2:16" s="146" customFormat="1" ht="9.9499999999999993" hidden="1" customHeight="1" x14ac:dyDescent="0.25">
      <c r="C470" s="77"/>
      <c r="D470" s="78"/>
      <c r="E470" s="79"/>
      <c r="F470" s="79"/>
      <c r="G470" s="79"/>
      <c r="H470" s="79"/>
      <c r="I470" s="79"/>
      <c r="J470" s="79"/>
      <c r="K470" s="79"/>
      <c r="L470" s="79"/>
      <c r="M470" s="79"/>
      <c r="N470" s="79"/>
      <c r="O470" s="91"/>
      <c r="P470" s="92"/>
    </row>
    <row r="471" spans="2:16" s="146" customFormat="1" ht="18" hidden="1" customHeight="1" x14ac:dyDescent="0.25">
      <c r="C471" s="80"/>
      <c r="D471" s="331"/>
      <c r="E471" s="331"/>
      <c r="F471" s="331"/>
      <c r="G471" s="331"/>
      <c r="H471" s="331"/>
      <c r="I471" s="331"/>
      <c r="J471" s="331"/>
      <c r="K471" s="331"/>
      <c r="L471" s="328"/>
      <c r="M471" s="332"/>
      <c r="N471" s="328"/>
      <c r="O471" s="95"/>
      <c r="P471" s="93"/>
    </row>
    <row r="472" spans="2:16" s="146" customFormat="1" ht="6" hidden="1" customHeight="1" thickBot="1" x14ac:dyDescent="0.3">
      <c r="C472" s="80"/>
      <c r="D472" s="331"/>
      <c r="E472" s="331"/>
      <c r="F472" s="331"/>
      <c r="G472" s="331"/>
      <c r="H472" s="331"/>
      <c r="I472" s="331"/>
      <c r="J472" s="331"/>
      <c r="K472" s="331"/>
      <c r="L472" s="328"/>
      <c r="M472" s="332"/>
      <c r="N472" s="328"/>
      <c r="O472" s="95"/>
      <c r="P472" s="93"/>
    </row>
    <row r="473" spans="2:16" s="146" customFormat="1" ht="15.75" hidden="1" customHeight="1" x14ac:dyDescent="0.25">
      <c r="C473" s="80"/>
      <c r="D473" s="81"/>
      <c r="E473" s="81"/>
      <c r="F473" s="81"/>
      <c r="G473" s="1041" t="s">
        <v>343</v>
      </c>
      <c r="H473" s="1042"/>
      <c r="I473" s="1042"/>
      <c r="J473" s="1043"/>
      <c r="K473" s="1085">
        <f>'BM DETALHADO'!J40</f>
        <v>6</v>
      </c>
      <c r="L473" s="1086"/>
      <c r="M473" s="81"/>
      <c r="N473" s="81"/>
      <c r="O473" s="96"/>
      <c r="P473" s="97"/>
    </row>
    <row r="474" spans="2:16" s="146" customFormat="1" ht="18" hidden="1" customHeight="1" x14ac:dyDescent="0.25">
      <c r="B474" s="31" t="s">
        <v>34</v>
      </c>
      <c r="C474" s="29"/>
      <c r="E474" s="30"/>
      <c r="F474" s="30"/>
      <c r="G474" s="1082" t="s">
        <v>344</v>
      </c>
      <c r="H474" s="1083"/>
      <c r="I474" s="1083"/>
      <c r="J474" s="1084"/>
      <c r="K474" s="1075">
        <f>K473+O469</f>
        <v>6</v>
      </c>
      <c r="L474" s="1076"/>
      <c r="M474" s="18"/>
      <c r="N474" s="18"/>
      <c r="O474" s="98"/>
      <c r="P474" s="99"/>
    </row>
    <row r="475" spans="2:16" s="146" customFormat="1" ht="18" hidden="1" customHeight="1" x14ac:dyDescent="0.25">
      <c r="B475" s="31" t="str">
        <f>C469</f>
        <v>1.27</v>
      </c>
      <c r="C475" s="29"/>
      <c r="E475" s="30"/>
      <c r="F475" s="30"/>
      <c r="G475" s="1082" t="s">
        <v>345</v>
      </c>
      <c r="H475" s="1083"/>
      <c r="I475" s="1083"/>
      <c r="J475" s="1084"/>
      <c r="K475" s="1075">
        <f>'BM DETALHADO'!E40</f>
        <v>6</v>
      </c>
      <c r="L475" s="1076"/>
      <c r="M475" s="18"/>
      <c r="N475" s="18"/>
      <c r="O475" s="98"/>
      <c r="P475" s="99"/>
    </row>
    <row r="476" spans="2:16" s="146" customFormat="1" ht="18" hidden="1" customHeight="1" thickBot="1" x14ac:dyDescent="0.3">
      <c r="C476" s="29"/>
      <c r="D476" s="30"/>
      <c r="E476" s="30"/>
      <c r="F476" s="30"/>
      <c r="G476" s="1077" t="s">
        <v>346</v>
      </c>
      <c r="H476" s="1078"/>
      <c r="I476" s="1078"/>
      <c r="J476" s="1079"/>
      <c r="K476" s="1068">
        <f>K475-K474</f>
        <v>0</v>
      </c>
      <c r="L476" s="1069"/>
      <c r="M476" s="18"/>
      <c r="N476" s="18"/>
      <c r="O476" s="98"/>
      <c r="P476" s="99"/>
    </row>
    <row r="477" spans="2:16" s="146" customFormat="1" ht="18" hidden="1" customHeight="1" x14ac:dyDescent="0.25">
      <c r="C477" s="29"/>
      <c r="D477" s="30"/>
      <c r="E477" s="30"/>
      <c r="F477" s="30"/>
      <c r="G477" s="363"/>
      <c r="H477" s="363"/>
      <c r="I477" s="363"/>
      <c r="J477" s="363"/>
      <c r="K477" s="364"/>
      <c r="L477" s="364"/>
      <c r="M477" s="18"/>
      <c r="N477" s="18"/>
      <c r="O477" s="98"/>
      <c r="P477" s="99"/>
    </row>
    <row r="478" spans="2:16" s="146" customFormat="1" ht="9.9499999999999993" hidden="1" customHeight="1" thickBot="1" x14ac:dyDescent="0.3">
      <c r="C478" s="21"/>
      <c r="D478" s="22"/>
      <c r="E478" s="22"/>
      <c r="F478" s="22"/>
      <c r="G478" s="360"/>
      <c r="H478" s="360"/>
      <c r="I478" s="360"/>
      <c r="J478" s="360"/>
      <c r="K478" s="361"/>
      <c r="L478" s="361"/>
      <c r="M478" s="22"/>
      <c r="N478" s="22"/>
      <c r="O478" s="100"/>
      <c r="P478" s="101"/>
    </row>
    <row r="479" spans="2:16" s="146" customFormat="1" ht="18" hidden="1" customHeight="1" x14ac:dyDescent="0.25">
      <c r="C479" s="20" t="s">
        <v>34</v>
      </c>
      <c r="D479" s="1052" t="s">
        <v>35</v>
      </c>
      <c r="E479" s="1053"/>
      <c r="F479" s="1053"/>
      <c r="G479" s="1053"/>
      <c r="H479" s="1053"/>
      <c r="I479" s="1053"/>
      <c r="J479" s="1053"/>
      <c r="K479" s="1053"/>
      <c r="L479" s="1053"/>
      <c r="M479" s="1054"/>
      <c r="N479" s="145" t="s">
        <v>0</v>
      </c>
      <c r="O479" s="1107" t="s">
        <v>4</v>
      </c>
      <c r="P479" s="1108"/>
    </row>
    <row r="480" spans="2:16" s="146" customFormat="1" ht="69.95" hidden="1" customHeight="1" thickBot="1" x14ac:dyDescent="0.3">
      <c r="C480" s="85" t="s">
        <v>134</v>
      </c>
      <c r="D480" s="1070" t="str">
        <f>VLOOKUP(C480,'BM DETALHADO'!$B$13:$D$126,2,FALSE)</f>
        <v>LOCACAO DE TORRE METALICA COMPLETA PARA UMA CARGA DE 8 TF (80 KN)  E PE DIREITO DE 6 M, INCLUINDO MODULOS , DIAGONAIS, SAPATAS E FORCADOS</v>
      </c>
      <c r="E480" s="1071"/>
      <c r="F480" s="1071"/>
      <c r="G480" s="1071"/>
      <c r="H480" s="1071"/>
      <c r="I480" s="1071"/>
      <c r="J480" s="1071"/>
      <c r="K480" s="1071"/>
      <c r="L480" s="1071"/>
      <c r="M480" s="1072"/>
      <c r="N480" s="19" t="str">
        <f>VLOOKUP(C480,'BM DETALHADO'!$B$13:$D$126,3,FALSE)</f>
        <v>UNID</v>
      </c>
      <c r="O480" s="1109"/>
      <c r="P480" s="1110"/>
    </row>
    <row r="481" spans="2:16" s="146" customFormat="1" ht="9.9499999999999993" hidden="1" customHeight="1" x14ac:dyDescent="0.25">
      <c r="C481" s="77"/>
      <c r="D481" s="78"/>
      <c r="E481" s="79"/>
      <c r="F481" s="79"/>
      <c r="G481" s="79"/>
      <c r="H481" s="79"/>
      <c r="I481" s="79"/>
      <c r="J481" s="79"/>
      <c r="K481" s="79"/>
      <c r="L481" s="79"/>
      <c r="M481" s="79"/>
      <c r="N481" s="79"/>
      <c r="O481" s="91"/>
      <c r="P481" s="92"/>
    </row>
    <row r="482" spans="2:16" s="146" customFormat="1" ht="18" hidden="1" customHeight="1" x14ac:dyDescent="0.25">
      <c r="C482" s="336"/>
      <c r="D482" s="81"/>
      <c r="E482" s="1128"/>
      <c r="F482" s="1128"/>
      <c r="G482" s="1128"/>
      <c r="H482" s="474"/>
      <c r="I482" s="182"/>
      <c r="J482" s="210"/>
      <c r="K482" s="347"/>
      <c r="L482" s="339"/>
      <c r="M482" s="169"/>
      <c r="N482" s="169"/>
      <c r="O482" s="343"/>
      <c r="P482" s="93"/>
    </row>
    <row r="483" spans="2:16" s="146" customFormat="1" ht="18" hidden="1" customHeight="1" x14ac:dyDescent="0.25">
      <c r="C483" s="336"/>
      <c r="D483" s="370"/>
      <c r="E483" s="370"/>
      <c r="F483" s="370"/>
      <c r="G483" s="179"/>
      <c r="H483" s="178"/>
      <c r="I483" s="176"/>
      <c r="J483" s="330"/>
      <c r="K483" s="330"/>
      <c r="L483" s="330"/>
      <c r="M483" s="330"/>
      <c r="N483" s="330"/>
      <c r="O483" s="94"/>
      <c r="P483" s="93"/>
    </row>
    <row r="484" spans="2:16" s="146" customFormat="1" ht="18" hidden="1" customHeight="1" x14ac:dyDescent="0.25">
      <c r="C484" s="80"/>
      <c r="D484" s="331"/>
      <c r="E484" s="331"/>
      <c r="F484" s="331"/>
      <c r="G484" s="331"/>
      <c r="H484" s="331"/>
      <c r="I484" s="331"/>
      <c r="J484" s="331"/>
      <c r="K484" s="331"/>
      <c r="L484" s="328"/>
      <c r="M484" s="332"/>
      <c r="N484" s="328"/>
      <c r="O484" s="95"/>
      <c r="P484" s="93"/>
    </row>
    <row r="485" spans="2:16" s="146" customFormat="1" ht="9.9499999999999993" hidden="1" customHeight="1" thickBot="1" x14ac:dyDescent="0.3">
      <c r="C485" s="80"/>
      <c r="D485" s="81"/>
      <c r="E485" s="81"/>
      <c r="F485" s="81"/>
      <c r="G485" s="81"/>
      <c r="H485" s="81"/>
      <c r="I485" s="81"/>
      <c r="J485" s="81"/>
      <c r="K485" s="81"/>
      <c r="L485" s="81"/>
      <c r="M485" s="81"/>
      <c r="N485" s="81"/>
      <c r="O485" s="96"/>
      <c r="P485" s="97"/>
    </row>
    <row r="486" spans="2:16" s="146" customFormat="1" ht="18" hidden="1" customHeight="1" x14ac:dyDescent="0.25">
      <c r="B486" s="31" t="s">
        <v>34</v>
      </c>
      <c r="C486" s="29"/>
      <c r="E486" s="30"/>
      <c r="F486" s="30"/>
      <c r="G486" s="1041" t="s">
        <v>343</v>
      </c>
      <c r="H486" s="1042"/>
      <c r="I486" s="1042"/>
      <c r="J486" s="1043"/>
      <c r="K486" s="1085">
        <f>'[27]MEMÓRIA DE CÁLCULO'!$K$487</f>
        <v>12</v>
      </c>
      <c r="L486" s="1086"/>
      <c r="M486" s="18"/>
      <c r="N486" s="18"/>
      <c r="O486" s="98"/>
      <c r="P486" s="99"/>
    </row>
    <row r="487" spans="2:16" s="146" customFormat="1" ht="18" hidden="1" customHeight="1" x14ac:dyDescent="0.25">
      <c r="B487" s="31" t="str">
        <f>C480</f>
        <v>1.28</v>
      </c>
      <c r="C487" s="29"/>
      <c r="E487" s="30"/>
      <c r="F487" s="30"/>
      <c r="G487" s="1082" t="s">
        <v>344</v>
      </c>
      <c r="H487" s="1083"/>
      <c r="I487" s="1083"/>
      <c r="J487" s="1084"/>
      <c r="K487" s="1075">
        <f>K486+O480</f>
        <v>12</v>
      </c>
      <c r="L487" s="1076"/>
      <c r="M487" s="18"/>
      <c r="N487" s="18"/>
      <c r="O487" s="98"/>
      <c r="P487" s="99"/>
    </row>
    <row r="488" spans="2:16" s="146" customFormat="1" ht="18" hidden="1" customHeight="1" x14ac:dyDescent="0.25">
      <c r="C488" s="29"/>
      <c r="D488" s="30"/>
      <c r="E488" s="30"/>
      <c r="F488" s="30"/>
      <c r="G488" s="1082" t="s">
        <v>345</v>
      </c>
      <c r="H488" s="1083"/>
      <c r="I488" s="1083"/>
      <c r="J488" s="1084"/>
      <c r="K488" s="1075">
        <f>'BM DETALHADO'!E41</f>
        <v>12</v>
      </c>
      <c r="L488" s="1076"/>
      <c r="M488" s="18"/>
      <c r="N488" s="18"/>
      <c r="O488" s="98"/>
      <c r="P488" s="99"/>
    </row>
    <row r="489" spans="2:16" s="146" customFormat="1" ht="18" hidden="1" customHeight="1" thickBot="1" x14ac:dyDescent="0.3">
      <c r="C489" s="29"/>
      <c r="D489" s="30"/>
      <c r="E489" s="30"/>
      <c r="F489" s="30"/>
      <c r="G489" s="1077" t="s">
        <v>346</v>
      </c>
      <c r="H489" s="1078"/>
      <c r="I489" s="1078"/>
      <c r="J489" s="1079"/>
      <c r="K489" s="1068">
        <f>K488-K487</f>
        <v>0</v>
      </c>
      <c r="L489" s="1069"/>
      <c r="M489" s="18"/>
      <c r="N489" s="18"/>
      <c r="O489" s="98"/>
      <c r="P489" s="99"/>
    </row>
    <row r="490" spans="2:16" s="146" customFormat="1" ht="9.9499999999999993" hidden="1" customHeight="1" thickBot="1" x14ac:dyDescent="0.3">
      <c r="C490" s="21"/>
      <c r="D490" s="22"/>
      <c r="E490" s="22"/>
      <c r="F490" s="22"/>
      <c r="G490" s="27"/>
      <c r="H490" s="27"/>
      <c r="I490" s="27"/>
      <c r="J490" s="27"/>
      <c r="K490" s="28"/>
      <c r="L490" s="28"/>
      <c r="M490" s="22"/>
      <c r="N490" s="22"/>
      <c r="O490" s="100"/>
      <c r="P490" s="101"/>
    </row>
    <row r="491" spans="2:16" s="146" customFormat="1" ht="18" hidden="1" customHeight="1" x14ac:dyDescent="0.25">
      <c r="C491" s="20" t="s">
        <v>34</v>
      </c>
      <c r="D491" s="1052" t="s">
        <v>35</v>
      </c>
      <c r="E491" s="1053"/>
      <c r="F491" s="1053"/>
      <c r="G491" s="1053"/>
      <c r="H491" s="1053"/>
      <c r="I491" s="1053"/>
      <c r="J491" s="1053"/>
      <c r="K491" s="1053"/>
      <c r="L491" s="1053"/>
      <c r="M491" s="1054"/>
      <c r="N491" s="145" t="s">
        <v>0</v>
      </c>
      <c r="O491" s="1107" t="s">
        <v>4</v>
      </c>
      <c r="P491" s="1108"/>
    </row>
    <row r="492" spans="2:16" s="146" customFormat="1" ht="69.95" hidden="1" customHeight="1" thickBot="1" x14ac:dyDescent="0.3">
      <c r="C492" s="85" t="s">
        <v>136</v>
      </c>
      <c r="D492" s="1070" t="str">
        <f>VLOOKUP(C492,'BM DETALHADO'!$B$13:$D$126,2,FALSE)</f>
        <v>LOCAÇÃO DE ANDAIME DE TUBOS COM TRAVAS DE PRESSÃO DO FORCADO POR PARAFUSOS , PARA MONTAGEM DE ANDAIMES EM BALANÇO, com bandeja de proteção- Aluguel, montagem e desmotagem</v>
      </c>
      <c r="E492" s="1071"/>
      <c r="F492" s="1071"/>
      <c r="G492" s="1071"/>
      <c r="H492" s="1071"/>
      <c r="I492" s="1071"/>
      <c r="J492" s="1071"/>
      <c r="K492" s="1071"/>
      <c r="L492" s="1071"/>
      <c r="M492" s="1072"/>
      <c r="N492" s="19" t="str">
        <f>VLOOKUP(C492,'BM DETALHADO'!$B$13:$D$126,3,FALSE)</f>
        <v>M2</v>
      </c>
      <c r="O492" s="1109"/>
      <c r="P492" s="1110"/>
    </row>
    <row r="493" spans="2:16" s="146" customFormat="1" ht="9.9499999999999993" hidden="1" customHeight="1" x14ac:dyDescent="0.25">
      <c r="C493" s="77"/>
      <c r="D493" s="78"/>
      <c r="E493" s="79"/>
      <c r="F493" s="79"/>
      <c r="G493" s="79"/>
      <c r="H493" s="79"/>
      <c r="I493" s="79"/>
      <c r="J493" s="79"/>
      <c r="K493" s="79"/>
      <c r="L493" s="79"/>
      <c r="M493" s="79"/>
      <c r="N493" s="79"/>
      <c r="O493" s="91"/>
      <c r="P493" s="92"/>
    </row>
    <row r="494" spans="2:16" s="146" customFormat="1" ht="18" hidden="1" customHeight="1" x14ac:dyDescent="0.25">
      <c r="C494" s="336"/>
      <c r="D494" s="81"/>
      <c r="E494" s="81"/>
      <c r="F494" s="81"/>
      <c r="G494" s="81"/>
      <c r="H494" s="81"/>
      <c r="I494" s="81"/>
      <c r="J494" s="339"/>
      <c r="K494" s="344"/>
      <c r="L494" s="339"/>
      <c r="M494" s="169"/>
      <c r="N494" s="169"/>
      <c r="O494" s="343"/>
      <c r="P494" s="93"/>
    </row>
    <row r="495" spans="2:16" s="146" customFormat="1" ht="18" hidden="1" customHeight="1" x14ac:dyDescent="0.25">
      <c r="C495" s="336"/>
      <c r="D495" s="1250"/>
      <c r="E495" s="1250"/>
      <c r="F495" s="1250"/>
      <c r="G495" s="183"/>
      <c r="H495" s="500"/>
      <c r="I495" s="81"/>
      <c r="J495" s="182"/>
      <c r="K495" s="183"/>
      <c r="L495" s="355"/>
      <c r="M495" s="182"/>
      <c r="N495" s="182"/>
      <c r="O495" s="94"/>
      <c r="P495" s="93"/>
    </row>
    <row r="496" spans="2:16" s="146" customFormat="1" ht="18" hidden="1" customHeight="1" x14ac:dyDescent="0.25">
      <c r="C496" s="202"/>
      <c r="D496" s="1250"/>
      <c r="E496" s="1250"/>
      <c r="F496" s="1250"/>
      <c r="G496" s="183"/>
      <c r="H496" s="81"/>
      <c r="I496" s="167"/>
      <c r="J496" s="168"/>
      <c r="K496" s="167"/>
      <c r="L496" s="168"/>
      <c r="M496" s="169"/>
      <c r="N496" s="184"/>
      <c r="O496" s="169"/>
      <c r="P496" s="93"/>
    </row>
    <row r="497" spans="2:16" s="146" customFormat="1" ht="18" hidden="1" customHeight="1" x14ac:dyDescent="0.25">
      <c r="C497" s="202"/>
      <c r="D497" s="1128"/>
      <c r="E497" s="1128"/>
      <c r="F497" s="1128"/>
      <c r="G497" s="499"/>
      <c r="H497" s="204"/>
      <c r="I497" s="201"/>
      <c r="J497" s="201"/>
      <c r="K497" s="167"/>
      <c r="L497" s="339"/>
      <c r="M497" s="169"/>
      <c r="N497" s="169"/>
      <c r="O497" s="185"/>
      <c r="P497" s="186"/>
    </row>
    <row r="498" spans="2:16" s="526" customFormat="1" ht="18" hidden="1" customHeight="1" x14ac:dyDescent="0.25">
      <c r="C498" s="202"/>
      <c r="D498" s="527"/>
      <c r="E498" s="527"/>
      <c r="F498" s="527"/>
      <c r="G498" s="499"/>
      <c r="H498" s="204"/>
      <c r="I498" s="201"/>
      <c r="J498" s="201"/>
      <c r="K498" s="167"/>
      <c r="L498" s="533"/>
      <c r="M498" s="169"/>
      <c r="N498" s="169"/>
      <c r="O498" s="185"/>
      <c r="P498" s="186"/>
    </row>
    <row r="499" spans="2:16" s="526" customFormat="1" ht="18" hidden="1" customHeight="1" x14ac:dyDescent="0.25">
      <c r="C499" s="202"/>
      <c r="D499" s="527"/>
      <c r="E499" s="527"/>
      <c r="F499" s="527"/>
      <c r="G499" s="499"/>
      <c r="H499" s="204"/>
      <c r="I499" s="201"/>
      <c r="J499" s="201"/>
      <c r="K499" s="167"/>
      <c r="L499" s="533"/>
      <c r="M499" s="169"/>
      <c r="N499" s="169"/>
      <c r="O499" s="185"/>
      <c r="P499" s="186"/>
    </row>
    <row r="500" spans="2:16" s="526" customFormat="1" ht="18" hidden="1" customHeight="1" x14ac:dyDescent="0.25">
      <c r="C500" s="202"/>
      <c r="D500" s="527"/>
      <c r="E500" s="527"/>
      <c r="F500" s="527"/>
      <c r="G500" s="499"/>
      <c r="H500" s="204"/>
      <c r="I500" s="201"/>
      <c r="J500" s="201"/>
      <c r="K500" s="167"/>
      <c r="L500" s="533"/>
      <c r="M500" s="169"/>
      <c r="N500" s="169"/>
      <c r="O500" s="185"/>
      <c r="P500" s="186"/>
    </row>
    <row r="501" spans="2:16" s="526" customFormat="1" ht="18" hidden="1" customHeight="1" x14ac:dyDescent="0.25">
      <c r="C501" s="202"/>
      <c r="D501" s="527"/>
      <c r="E501" s="527"/>
      <c r="F501" s="527"/>
      <c r="G501" s="499"/>
      <c r="H501" s="204"/>
      <c r="I501" s="201"/>
      <c r="J501" s="201"/>
      <c r="K501" s="167"/>
      <c r="L501" s="533"/>
      <c r="M501" s="169"/>
      <c r="N501" s="169"/>
      <c r="O501" s="185"/>
      <c r="P501" s="186"/>
    </row>
    <row r="502" spans="2:16" s="526" customFormat="1" ht="18" hidden="1" customHeight="1" x14ac:dyDescent="0.25">
      <c r="C502" s="202"/>
      <c r="D502" s="527"/>
      <c r="E502" s="527"/>
      <c r="F502" s="527"/>
      <c r="G502" s="499"/>
      <c r="H502" s="204"/>
      <c r="I502" s="201"/>
      <c r="J502" s="201"/>
      <c r="K502" s="167"/>
      <c r="L502" s="533"/>
      <c r="M502" s="169"/>
      <c r="N502" s="169"/>
      <c r="O502" s="185"/>
      <c r="P502" s="186"/>
    </row>
    <row r="503" spans="2:16" s="577" customFormat="1" ht="18" hidden="1" customHeight="1" x14ac:dyDescent="0.25">
      <c r="C503" s="202"/>
      <c r="D503" s="578"/>
      <c r="E503" s="578"/>
      <c r="F503" s="578"/>
      <c r="G503" s="499"/>
      <c r="H503" s="204"/>
      <c r="I503" s="201"/>
      <c r="J503" s="201"/>
      <c r="K503" s="167"/>
      <c r="L503" s="583"/>
      <c r="M503" s="169"/>
      <c r="N503" s="169"/>
      <c r="O503" s="185"/>
      <c r="P503" s="186"/>
    </row>
    <row r="504" spans="2:16" s="526" customFormat="1" ht="18" hidden="1" customHeight="1" x14ac:dyDescent="0.25">
      <c r="C504" s="202"/>
      <c r="D504" s="527"/>
      <c r="E504" s="527"/>
      <c r="F504" s="527"/>
      <c r="G504" s="499"/>
      <c r="H504" s="204"/>
      <c r="I504" s="201"/>
      <c r="J504" s="201"/>
      <c r="K504" s="167"/>
      <c r="L504" s="533"/>
      <c r="M504" s="169"/>
      <c r="N504" s="169"/>
      <c r="O504" s="185"/>
      <c r="P504" s="186"/>
    </row>
    <row r="505" spans="2:16" s="526" customFormat="1" ht="18" hidden="1" customHeight="1" x14ac:dyDescent="0.25">
      <c r="C505" s="202"/>
      <c r="D505" s="527"/>
      <c r="E505" s="527"/>
      <c r="F505" s="527"/>
      <c r="G505" s="499"/>
      <c r="H505" s="204"/>
      <c r="I505" s="201"/>
      <c r="J505" s="201"/>
      <c r="K505" s="167"/>
      <c r="L505" s="533"/>
      <c r="M505" s="169"/>
      <c r="N505" s="169"/>
      <c r="O505" s="185"/>
      <c r="P505" s="186"/>
    </row>
    <row r="506" spans="2:16" s="146" customFormat="1" ht="18" hidden="1" customHeight="1" x14ac:dyDescent="0.25">
      <c r="C506" s="202"/>
      <c r="D506" s="81"/>
      <c r="E506" s="81"/>
      <c r="F506" s="330"/>
      <c r="G506" s="192"/>
      <c r="H506" s="81"/>
      <c r="I506" s="167"/>
      <c r="J506" s="168"/>
      <c r="K506" s="167"/>
      <c r="L506" s="168"/>
      <c r="M506" s="169"/>
      <c r="N506" s="169"/>
      <c r="O506" s="169"/>
      <c r="P506" s="93"/>
    </row>
    <row r="507" spans="2:16" s="146" customFormat="1" ht="9.9499999999999993" hidden="1" customHeight="1" thickBot="1" x14ac:dyDescent="0.3">
      <c r="C507" s="80"/>
      <c r="D507" s="81"/>
      <c r="E507" s="81"/>
      <c r="F507" s="81"/>
      <c r="G507" s="81"/>
      <c r="H507" s="81"/>
      <c r="I507" s="81"/>
      <c r="J507" s="81"/>
      <c r="K507" s="81"/>
      <c r="L507" s="81"/>
      <c r="M507" s="81"/>
      <c r="N507" s="81"/>
      <c r="O507" s="96"/>
      <c r="P507" s="97"/>
    </row>
    <row r="508" spans="2:16" s="146" customFormat="1" ht="18" hidden="1" customHeight="1" x14ac:dyDescent="0.25">
      <c r="B508" s="31" t="s">
        <v>34</v>
      </c>
      <c r="C508" s="29"/>
      <c r="E508" s="30"/>
      <c r="F508" s="30"/>
      <c r="G508" s="1041" t="s">
        <v>343</v>
      </c>
      <c r="H508" s="1042"/>
      <c r="I508" s="1042"/>
      <c r="J508" s="1043"/>
      <c r="K508" s="1085">
        <f>'[25]MEMÓRIA DE CÁLCULO'!$K$541</f>
        <v>79.999499999999998</v>
      </c>
      <c r="L508" s="1086"/>
      <c r="M508" s="18"/>
      <c r="N508" s="18"/>
      <c r="O508" s="98"/>
      <c r="P508" s="99"/>
    </row>
    <row r="509" spans="2:16" s="146" customFormat="1" ht="18" hidden="1" customHeight="1" x14ac:dyDescent="0.25">
      <c r="B509" s="31"/>
      <c r="C509" s="29"/>
      <c r="E509" s="30"/>
      <c r="F509" s="30"/>
      <c r="G509" s="1082" t="s">
        <v>344</v>
      </c>
      <c r="H509" s="1083"/>
      <c r="I509" s="1083"/>
      <c r="J509" s="1084"/>
      <c r="K509" s="1075">
        <f>K508+O492</f>
        <v>79.999499999999998</v>
      </c>
      <c r="L509" s="1076"/>
      <c r="M509" s="18"/>
      <c r="N509" s="18"/>
      <c r="O509" s="98"/>
      <c r="P509" s="99"/>
    </row>
    <row r="510" spans="2:16" s="146" customFormat="1" ht="18" hidden="1" customHeight="1" x14ac:dyDescent="0.25">
      <c r="B510" s="31" t="str">
        <f>C492</f>
        <v>1.29</v>
      </c>
      <c r="C510" s="29"/>
      <c r="E510" s="30"/>
      <c r="F510" s="30"/>
      <c r="G510" s="1082" t="s">
        <v>345</v>
      </c>
      <c r="H510" s="1083"/>
      <c r="I510" s="1083"/>
      <c r="J510" s="1084"/>
      <c r="K510" s="1075">
        <f>'BM DETALHADO'!E42</f>
        <v>80</v>
      </c>
      <c r="L510" s="1076"/>
      <c r="M510" s="18"/>
      <c r="N510" s="18"/>
      <c r="O510" s="98"/>
      <c r="P510" s="99"/>
    </row>
    <row r="511" spans="2:16" s="146" customFormat="1" ht="18" hidden="1" customHeight="1" thickBot="1" x14ac:dyDescent="0.3">
      <c r="B511" s="232"/>
      <c r="C511" s="29"/>
      <c r="E511" s="30"/>
      <c r="F511" s="30"/>
      <c r="G511" s="1077" t="s">
        <v>346</v>
      </c>
      <c r="H511" s="1078"/>
      <c r="I511" s="1078"/>
      <c r="J511" s="1079"/>
      <c r="K511" s="1068">
        <f>K510-K509</f>
        <v>5.0000000000238742E-4</v>
      </c>
      <c r="L511" s="1069"/>
      <c r="M511" s="18"/>
      <c r="N511" s="18"/>
      <c r="O511" s="98"/>
      <c r="P511" s="99"/>
    </row>
    <row r="512" spans="2:16" s="146" customFormat="1" ht="18" hidden="1" customHeight="1" x14ac:dyDescent="0.25">
      <c r="C512" s="29"/>
      <c r="D512" s="30"/>
      <c r="E512" s="30"/>
      <c r="F512" s="30"/>
      <c r="G512" s="363"/>
      <c r="H512" s="363"/>
      <c r="I512" s="363"/>
      <c r="J512" s="363"/>
      <c r="K512" s="364"/>
      <c r="L512" s="364"/>
      <c r="M512" s="18"/>
      <c r="N512" s="18"/>
      <c r="O512" s="98"/>
      <c r="P512" s="99"/>
    </row>
    <row r="513" spans="3:16" s="146" customFormat="1" ht="18" hidden="1" customHeight="1" x14ac:dyDescent="0.25">
      <c r="C513" s="29"/>
      <c r="D513" s="30"/>
      <c r="E513" s="30"/>
      <c r="F513" s="30"/>
      <c r="G513" s="363"/>
      <c r="H513" s="363"/>
      <c r="I513" s="363"/>
      <c r="J513" s="363"/>
      <c r="K513" s="364"/>
      <c r="L513" s="364"/>
      <c r="M513" s="18"/>
      <c r="N513" s="18"/>
      <c r="O513" s="98"/>
      <c r="P513" s="99"/>
    </row>
    <row r="514" spans="3:16" s="146" customFormat="1" ht="9.9499999999999993" hidden="1" customHeight="1" thickBot="1" x14ac:dyDescent="0.3">
      <c r="C514" s="21"/>
      <c r="D514" s="22"/>
      <c r="E514" s="22"/>
      <c r="F514" s="22"/>
      <c r="G514" s="360"/>
      <c r="H514" s="360"/>
      <c r="I514" s="360"/>
      <c r="J514" s="360"/>
      <c r="K514" s="361"/>
      <c r="L514" s="361"/>
      <c r="M514" s="22"/>
      <c r="N514" s="22"/>
      <c r="O514" s="100"/>
      <c r="P514" s="101"/>
    </row>
    <row r="515" spans="3:16" s="146" customFormat="1" ht="18" customHeight="1" x14ac:dyDescent="0.25">
      <c r="C515" s="20" t="s">
        <v>34</v>
      </c>
      <c r="D515" s="1052" t="s">
        <v>35</v>
      </c>
      <c r="E515" s="1053"/>
      <c r="F515" s="1053"/>
      <c r="G515" s="1053"/>
      <c r="H515" s="1053"/>
      <c r="I515" s="1053"/>
      <c r="J515" s="1053"/>
      <c r="K515" s="1053"/>
      <c r="L515" s="1053"/>
      <c r="M515" s="1054"/>
      <c r="N515" s="145" t="s">
        <v>0</v>
      </c>
      <c r="O515" s="1107" t="s">
        <v>4</v>
      </c>
      <c r="P515" s="1108"/>
    </row>
    <row r="516" spans="3:16" s="146" customFormat="1" ht="69.95" customHeight="1" thickBot="1" x14ac:dyDescent="0.3">
      <c r="C516" s="261" t="s">
        <v>138</v>
      </c>
      <c r="D516" s="1129" t="str">
        <f>VLOOKUP(C516,'BM DETALHADO'!$B$13:$D$126,2,FALSE)</f>
        <v>ESTRUTURA DE ESCORAMENTO TIPO PONTALETEAMENTO</v>
      </c>
      <c r="E516" s="1130"/>
      <c r="F516" s="1130"/>
      <c r="G516" s="1130"/>
      <c r="H516" s="1130"/>
      <c r="I516" s="1130"/>
      <c r="J516" s="1130"/>
      <c r="K516" s="1130"/>
      <c r="L516" s="1130"/>
      <c r="M516" s="1131"/>
      <c r="N516" s="262" t="str">
        <f>VLOOKUP(C516,'BM DETALHADO'!$B$13:$D$126,3,FALSE)</f>
        <v>m2</v>
      </c>
      <c r="O516" s="1218">
        <f>L528</f>
        <v>60</v>
      </c>
      <c r="P516" s="1219"/>
    </row>
    <row r="517" spans="3:16" s="146" customFormat="1" ht="9.9499999999999993" customHeight="1" x14ac:dyDescent="0.25">
      <c r="C517" s="77"/>
      <c r="D517" s="78"/>
      <c r="E517" s="79"/>
      <c r="F517" s="79"/>
      <c r="G517" s="79"/>
      <c r="H517" s="79"/>
      <c r="I517" s="79"/>
      <c r="J517" s="79"/>
      <c r="K517" s="79"/>
      <c r="L517" s="79"/>
      <c r="M517" s="79"/>
      <c r="N517" s="79"/>
      <c r="O517" s="91"/>
      <c r="P517" s="92"/>
    </row>
    <row r="518" spans="3:16" s="146" customFormat="1" ht="18" customHeight="1" x14ac:dyDescent="0.25">
      <c r="C518" s="1125" t="s">
        <v>446</v>
      </c>
      <c r="D518" s="1126"/>
      <c r="E518" s="1126"/>
      <c r="F518" s="1126"/>
      <c r="G518" s="403"/>
      <c r="H518" s="1126" t="s">
        <v>447</v>
      </c>
      <c r="I518" s="1126"/>
      <c r="J518" s="1126"/>
      <c r="K518" s="1126"/>
      <c r="L518" s="403"/>
      <c r="M518" s="1126" t="s">
        <v>448</v>
      </c>
      <c r="N518" s="1126"/>
      <c r="O518" s="1126"/>
      <c r="P518" s="1127"/>
    </row>
    <row r="519" spans="3:16" s="146" customFormat="1" ht="18" customHeight="1" x14ac:dyDescent="0.25">
      <c r="C519" s="734" t="s">
        <v>327</v>
      </c>
      <c r="D519" s="697" t="s">
        <v>290</v>
      </c>
      <c r="E519" s="735">
        <v>4</v>
      </c>
      <c r="F519" s="735" t="s">
        <v>65</v>
      </c>
      <c r="G519" s="197"/>
      <c r="H519" s="377" t="s">
        <v>327</v>
      </c>
      <c r="I519" s="697" t="s">
        <v>290</v>
      </c>
      <c r="J519" s="735">
        <v>4</v>
      </c>
      <c r="K519" s="735" t="s">
        <v>65</v>
      </c>
      <c r="L519" s="403"/>
      <c r="M519" s="377" t="s">
        <v>327</v>
      </c>
      <c r="N519" s="697" t="s">
        <v>290</v>
      </c>
      <c r="O519" s="735">
        <v>4</v>
      </c>
      <c r="P519" s="736" t="s">
        <v>65</v>
      </c>
    </row>
    <row r="520" spans="3:16" s="146" customFormat="1" ht="18" customHeight="1" x14ac:dyDescent="0.25">
      <c r="C520" s="734" t="s">
        <v>309</v>
      </c>
      <c r="D520" s="697" t="s">
        <v>290</v>
      </c>
      <c r="E520" s="735">
        <v>3</v>
      </c>
      <c r="F520" s="735" t="s">
        <v>65</v>
      </c>
      <c r="G520" s="197"/>
      <c r="H520" s="377" t="s">
        <v>309</v>
      </c>
      <c r="I520" s="697" t="s">
        <v>290</v>
      </c>
      <c r="J520" s="735">
        <v>3</v>
      </c>
      <c r="K520" s="735" t="s">
        <v>65</v>
      </c>
      <c r="L520" s="403"/>
      <c r="M520" s="377" t="s">
        <v>309</v>
      </c>
      <c r="N520" s="697" t="s">
        <v>290</v>
      </c>
      <c r="O520" s="735">
        <v>3</v>
      </c>
      <c r="P520" s="736" t="s">
        <v>65</v>
      </c>
    </row>
    <row r="521" spans="3:16" s="146" customFormat="1" ht="18" customHeight="1" x14ac:dyDescent="0.25">
      <c r="C521" s="301" t="s">
        <v>291</v>
      </c>
      <c r="D521" s="697" t="s">
        <v>290</v>
      </c>
      <c r="E521" s="737">
        <f>E519*E520</f>
        <v>12</v>
      </c>
      <c r="F521" s="737" t="s">
        <v>292</v>
      </c>
      <c r="G521" s="197"/>
      <c r="H521" s="447" t="s">
        <v>291</v>
      </c>
      <c r="I521" s="697" t="s">
        <v>290</v>
      </c>
      <c r="J521" s="737">
        <f>J519*J520</f>
        <v>12</v>
      </c>
      <c r="K521" s="737" t="s">
        <v>292</v>
      </c>
      <c r="L521" s="403"/>
      <c r="M521" s="447" t="s">
        <v>291</v>
      </c>
      <c r="N521" s="697" t="s">
        <v>290</v>
      </c>
      <c r="O521" s="737">
        <f>O519*O520</f>
        <v>12</v>
      </c>
      <c r="P521" s="498" t="s">
        <v>292</v>
      </c>
    </row>
    <row r="522" spans="3:16" s="146" customFormat="1" ht="18" customHeight="1" x14ac:dyDescent="0.25">
      <c r="C522" s="202"/>
      <c r="D522" s="197"/>
      <c r="E522" s="197"/>
      <c r="F522" s="197"/>
      <c r="G522" s="197"/>
      <c r="H522" s="197"/>
      <c r="I522" s="382"/>
      <c r="J522" s="735"/>
      <c r="K522" s="490"/>
      <c r="L522" s="493"/>
      <c r="M522" s="465"/>
      <c r="N522" s="494"/>
      <c r="O522" s="465"/>
      <c r="P522" s="186"/>
    </row>
    <row r="523" spans="3:16" s="146" customFormat="1" ht="18" customHeight="1" x14ac:dyDescent="0.25">
      <c r="C523" s="1125" t="s">
        <v>449</v>
      </c>
      <c r="D523" s="1126"/>
      <c r="E523" s="1126"/>
      <c r="F523" s="1126"/>
      <c r="G523" s="403"/>
      <c r="H523" s="1126" t="s">
        <v>450</v>
      </c>
      <c r="I523" s="1126"/>
      <c r="J523" s="1126"/>
      <c r="K523" s="1126"/>
      <c r="L523" s="403"/>
      <c r="M523" s="1126"/>
      <c r="N523" s="1126"/>
      <c r="O523" s="1126"/>
      <c r="P523" s="1127"/>
    </row>
    <row r="524" spans="3:16" s="146" customFormat="1" ht="18" customHeight="1" x14ac:dyDescent="0.25">
      <c r="C524" s="734" t="s">
        <v>327</v>
      </c>
      <c r="D524" s="697" t="s">
        <v>290</v>
      </c>
      <c r="E524" s="735">
        <v>4</v>
      </c>
      <c r="F524" s="735" t="s">
        <v>65</v>
      </c>
      <c r="G524" s="197"/>
      <c r="H524" s="377" t="s">
        <v>327</v>
      </c>
      <c r="I524" s="697" t="s">
        <v>290</v>
      </c>
      <c r="J524" s="735">
        <v>4</v>
      </c>
      <c r="K524" s="735" t="s">
        <v>65</v>
      </c>
      <c r="L524" s="403"/>
      <c r="M524" s="377"/>
      <c r="N524" s="697"/>
      <c r="O524" s="735"/>
      <c r="P524" s="736"/>
    </row>
    <row r="525" spans="3:16" s="146" customFormat="1" ht="18" customHeight="1" x14ac:dyDescent="0.25">
      <c r="C525" s="734" t="s">
        <v>309</v>
      </c>
      <c r="D525" s="697" t="s">
        <v>290</v>
      </c>
      <c r="E525" s="735">
        <v>3</v>
      </c>
      <c r="F525" s="735" t="s">
        <v>65</v>
      </c>
      <c r="G525" s="197"/>
      <c r="H525" s="377" t="s">
        <v>309</v>
      </c>
      <c r="I525" s="697" t="s">
        <v>290</v>
      </c>
      <c r="J525" s="735">
        <v>3</v>
      </c>
      <c r="K525" s="735" t="s">
        <v>65</v>
      </c>
      <c r="L525" s="403"/>
      <c r="M525" s="377"/>
      <c r="N525" s="697"/>
      <c r="O525" s="735"/>
      <c r="P525" s="736"/>
    </row>
    <row r="526" spans="3:16" s="146" customFormat="1" ht="18" customHeight="1" x14ac:dyDescent="0.25">
      <c r="C526" s="301" t="s">
        <v>291</v>
      </c>
      <c r="D526" s="697" t="s">
        <v>290</v>
      </c>
      <c r="E526" s="737">
        <f>E524*E525</f>
        <v>12</v>
      </c>
      <c r="F526" s="737" t="s">
        <v>292</v>
      </c>
      <c r="G526" s="197"/>
      <c r="H526" s="447" t="s">
        <v>291</v>
      </c>
      <c r="I526" s="697" t="s">
        <v>290</v>
      </c>
      <c r="J526" s="737">
        <f>J524*J525</f>
        <v>12</v>
      </c>
      <c r="K526" s="737" t="s">
        <v>292</v>
      </c>
      <c r="L526" s="403"/>
      <c r="M526" s="447"/>
      <c r="N526" s="697"/>
      <c r="O526" s="737"/>
      <c r="P526" s="498"/>
    </row>
    <row r="527" spans="3:16" s="146" customFormat="1" ht="18" customHeight="1" x14ac:dyDescent="0.25">
      <c r="C527" s="202"/>
      <c r="D527" s="233"/>
      <c r="E527" s="233"/>
      <c r="F527" s="233"/>
      <c r="G527" s="233"/>
      <c r="H527" s="233"/>
      <c r="I527" s="491"/>
      <c r="J527" s="495"/>
      <c r="K527" s="491"/>
      <c r="L527" s="496"/>
      <c r="M527" s="497"/>
      <c r="N527" s="466"/>
      <c r="O527" s="465"/>
      <c r="P527" s="93"/>
    </row>
    <row r="528" spans="3:16" s="146" customFormat="1" ht="18" customHeight="1" x14ac:dyDescent="0.25">
      <c r="C528" s="202"/>
      <c r="D528" s="1376" t="s">
        <v>19</v>
      </c>
      <c r="E528" s="1376"/>
      <c r="F528" s="1376"/>
      <c r="G528" s="1376"/>
      <c r="H528" s="1376"/>
      <c r="I528" s="1376"/>
      <c r="J528" s="1376"/>
      <c r="K528" s="737" t="s">
        <v>290</v>
      </c>
      <c r="L528" s="738">
        <f>E521+J521+O521+E526+J526</f>
        <v>60</v>
      </c>
      <c r="M528" s="467" t="s">
        <v>292</v>
      </c>
      <c r="N528" s="448"/>
      <c r="O528" s="406"/>
      <c r="P528" s="186"/>
    </row>
    <row r="529" spans="1:16" s="146" customFormat="1" ht="18" customHeight="1" x14ac:dyDescent="0.25">
      <c r="C529" s="202"/>
      <c r="D529" s="233"/>
      <c r="E529" s="233"/>
      <c r="F529" s="182"/>
      <c r="G529" s="182"/>
      <c r="H529" s="182"/>
      <c r="I529" s="182"/>
      <c r="J529" s="182"/>
      <c r="K529" s="612"/>
      <c r="L529" s="400"/>
      <c r="M529" s="400"/>
      <c r="N529" s="590"/>
      <c r="O529" s="476"/>
      <c r="P529" s="186"/>
    </row>
    <row r="530" spans="1:16" s="146" customFormat="1" ht="9.9499999999999993" customHeight="1" thickBot="1" x14ac:dyDescent="0.3">
      <c r="C530" s="80"/>
      <c r="D530" s="283"/>
      <c r="E530" s="283"/>
      <c r="F530" s="283"/>
      <c r="G530" s="283"/>
      <c r="H530" s="283"/>
      <c r="I530" s="283"/>
      <c r="J530" s="283"/>
      <c r="K530" s="283"/>
      <c r="L530" s="283"/>
      <c r="M530" s="283"/>
      <c r="N530" s="283"/>
      <c r="O530" s="432"/>
      <c r="P530" s="97"/>
    </row>
    <row r="531" spans="1:16" s="146" customFormat="1" ht="18" customHeight="1" x14ac:dyDescent="0.25">
      <c r="B531" s="31" t="s">
        <v>34</v>
      </c>
      <c r="C531" s="29"/>
      <c r="D531" s="362"/>
      <c r="E531" s="408"/>
      <c r="F531" s="408"/>
      <c r="G531" s="1041" t="s">
        <v>343</v>
      </c>
      <c r="H531" s="1042"/>
      <c r="I531" s="1042"/>
      <c r="J531" s="1043"/>
      <c r="K531" s="1085">
        <f>'[27]MEMÓRIA DE CÁLCULO'!$K$532</f>
        <v>329.81</v>
      </c>
      <c r="L531" s="1086"/>
      <c r="M531" s="171"/>
      <c r="N531" s="171"/>
      <c r="O531" s="433"/>
      <c r="P531" s="99"/>
    </row>
    <row r="532" spans="1:16" s="146" customFormat="1" ht="18" customHeight="1" x14ac:dyDescent="0.25">
      <c r="B532" s="31" t="str">
        <f>C516</f>
        <v>1.30</v>
      </c>
      <c r="C532" s="29"/>
      <c r="D532" s="362"/>
      <c r="E532" s="408"/>
      <c r="F532" s="408"/>
      <c r="G532" s="1082" t="s">
        <v>344</v>
      </c>
      <c r="H532" s="1083"/>
      <c r="I532" s="1083"/>
      <c r="J532" s="1084"/>
      <c r="K532" s="1075">
        <f>K531+O516</f>
        <v>389.81</v>
      </c>
      <c r="L532" s="1076"/>
      <c r="M532" s="171"/>
      <c r="N532" s="171"/>
      <c r="O532" s="433"/>
      <c r="P532" s="99"/>
    </row>
    <row r="533" spans="1:16" s="146" customFormat="1" ht="18" customHeight="1" x14ac:dyDescent="0.25">
      <c r="C533" s="29"/>
      <c r="D533" s="408"/>
      <c r="E533" s="408"/>
      <c r="F533" s="408"/>
      <c r="G533" s="1082" t="s">
        <v>345</v>
      </c>
      <c r="H533" s="1083"/>
      <c r="I533" s="1083"/>
      <c r="J533" s="1084"/>
      <c r="K533" s="1075">
        <f>VLOOKUP(C516,'[26]BM DETALHADO'!$B$13:$E$126,4,FALSE)</f>
        <v>569</v>
      </c>
      <c r="L533" s="1076"/>
      <c r="M533" s="171"/>
      <c r="N533" s="171"/>
      <c r="O533" s="433"/>
      <c r="P533" s="99"/>
    </row>
    <row r="534" spans="1:16" s="146" customFormat="1" ht="18" customHeight="1" thickBot="1" x14ac:dyDescent="0.3">
      <c r="C534" s="29"/>
      <c r="D534" s="408"/>
      <c r="E534" s="408"/>
      <c r="F534" s="408"/>
      <c r="G534" s="1077" t="s">
        <v>346</v>
      </c>
      <c r="H534" s="1078"/>
      <c r="I534" s="1078"/>
      <c r="J534" s="1079"/>
      <c r="K534" s="1068">
        <f>K533-K532</f>
        <v>179.19</v>
      </c>
      <c r="L534" s="1069"/>
      <c r="M534" s="171"/>
      <c r="N534" s="171"/>
      <c r="O534" s="433"/>
      <c r="P534" s="99"/>
    </row>
    <row r="535" spans="1:16" s="146" customFormat="1" ht="9.9499999999999993" customHeight="1" thickBot="1" x14ac:dyDescent="0.3">
      <c r="C535" s="21"/>
      <c r="D535" s="22"/>
      <c r="E535" s="22"/>
      <c r="F535" s="22"/>
      <c r="G535" s="27"/>
      <c r="H535" s="27"/>
      <c r="I535" s="27"/>
      <c r="J535" s="27"/>
      <c r="K535" s="28"/>
      <c r="L535" s="28"/>
      <c r="M535" s="22"/>
      <c r="N535" s="22"/>
      <c r="O535" s="100"/>
      <c r="P535" s="101"/>
    </row>
    <row r="536" spans="1:16" s="146" customFormat="1" ht="18" hidden="1" customHeight="1" x14ac:dyDescent="0.25">
      <c r="A536" s="146" cm="1">
        <f t="array" aca="1" ref="A536" ca="1">536:538</f>
        <v>0</v>
      </c>
      <c r="C536" s="20" t="s">
        <v>34</v>
      </c>
      <c r="D536" s="1052" t="s">
        <v>35</v>
      </c>
      <c r="E536" s="1053"/>
      <c r="F536" s="1053"/>
      <c r="G536" s="1053"/>
      <c r="H536" s="1053"/>
      <c r="I536" s="1053"/>
      <c r="J536" s="1053"/>
      <c r="K536" s="1053"/>
      <c r="L536" s="1053"/>
      <c r="M536" s="1054"/>
      <c r="N536" s="278" t="s">
        <v>0</v>
      </c>
      <c r="O536" s="1107" t="s">
        <v>4</v>
      </c>
      <c r="P536" s="1108"/>
    </row>
    <row r="537" spans="1:16" s="146" customFormat="1" ht="69.95" hidden="1" customHeight="1" thickBot="1" x14ac:dyDescent="0.3">
      <c r="C537" s="261" t="s">
        <v>310</v>
      </c>
      <c r="D537" s="1129" t="str">
        <f>'BM DETALHADO'!C44</f>
        <v>BARRACÃO DE OBRA PARA ESCRITÓRIO DA FISCALIZAÇÃO TIPO-I, ÁREA INTERNA 18,15M2, EM CHAPA DE COMPENSADO RESINADO, INCLUSIVE MOBILIÁRIO (OBRA DE PEQUENO A MÉDIO PORTE, EFETIVO ATÉ 60 HOMENS) - PADRÃO DEER-MG</v>
      </c>
      <c r="E537" s="1130"/>
      <c r="F537" s="1130"/>
      <c r="G537" s="1130"/>
      <c r="H537" s="1130"/>
      <c r="I537" s="1130"/>
      <c r="J537" s="1130"/>
      <c r="K537" s="1130"/>
      <c r="L537" s="1130"/>
      <c r="M537" s="1131"/>
      <c r="N537" s="262" t="str">
        <f>'BM DETALHADO'!D44</f>
        <v xml:space="preserve">UN </v>
      </c>
      <c r="O537" s="1218"/>
      <c r="P537" s="1219"/>
    </row>
    <row r="538" spans="1:16" s="146" customFormat="1" ht="9.9499999999999993" hidden="1" customHeight="1" x14ac:dyDescent="0.25">
      <c r="C538" s="77"/>
      <c r="D538" s="78"/>
      <c r="E538" s="79"/>
      <c r="F538" s="79"/>
      <c r="G538" s="79"/>
      <c r="H538" s="79"/>
      <c r="I538" s="79"/>
      <c r="J538" s="79"/>
      <c r="K538" s="79"/>
      <c r="L538" s="79"/>
      <c r="M538" s="79"/>
      <c r="N538" s="79"/>
      <c r="O538" s="91"/>
      <c r="P538" s="92"/>
    </row>
    <row r="539" spans="1:16" s="146" customFormat="1" ht="18" hidden="1" customHeight="1" x14ac:dyDescent="0.25">
      <c r="C539" s="80"/>
      <c r="D539" s="279"/>
      <c r="E539" s="279"/>
      <c r="F539" s="279"/>
      <c r="G539" s="330"/>
      <c r="H539" s="208"/>
      <c r="I539" s="208"/>
      <c r="J539" s="208"/>
      <c r="K539" s="208"/>
      <c r="L539" s="328"/>
      <c r="M539" s="332"/>
      <c r="N539" s="328"/>
      <c r="O539" s="329"/>
      <c r="P539" s="186"/>
    </row>
    <row r="540" spans="1:16" s="146" customFormat="1" ht="9.9499999999999993" hidden="1" customHeight="1" thickBot="1" x14ac:dyDescent="0.3">
      <c r="C540" s="80"/>
      <c r="D540" s="81"/>
      <c r="E540" s="81"/>
      <c r="F540" s="81"/>
      <c r="G540" s="81"/>
      <c r="H540" s="81"/>
      <c r="I540" s="81"/>
      <c r="J540" s="81"/>
      <c r="K540" s="81"/>
      <c r="L540" s="81"/>
      <c r="M540" s="81"/>
      <c r="N540" s="81"/>
      <c r="O540" s="96"/>
      <c r="P540" s="97"/>
    </row>
    <row r="541" spans="1:16" s="146" customFormat="1" ht="18" hidden="1" customHeight="1" x14ac:dyDescent="0.25">
      <c r="C541" s="29"/>
      <c r="E541" s="30"/>
      <c r="F541" s="30"/>
      <c r="G541" s="1041" t="s">
        <v>343</v>
      </c>
      <c r="H541" s="1042"/>
      <c r="I541" s="1042"/>
      <c r="J541" s="1043"/>
      <c r="K541" s="1085">
        <f>'BM DETALHADO'!J44</f>
        <v>1</v>
      </c>
      <c r="L541" s="1086"/>
      <c r="M541" s="18"/>
      <c r="N541" s="18"/>
      <c r="O541" s="98"/>
      <c r="P541" s="99"/>
    </row>
    <row r="542" spans="1:16" s="146" customFormat="1" ht="18" hidden="1" customHeight="1" x14ac:dyDescent="0.25">
      <c r="C542" s="29"/>
      <c r="E542" s="30"/>
      <c r="F542" s="30"/>
      <c r="G542" s="1082" t="s">
        <v>344</v>
      </c>
      <c r="H542" s="1083"/>
      <c r="I542" s="1083"/>
      <c r="J542" s="1084"/>
      <c r="K542" s="1075">
        <f>K541+O537</f>
        <v>1</v>
      </c>
      <c r="L542" s="1076"/>
      <c r="M542" s="18"/>
      <c r="N542" s="18"/>
      <c r="O542" s="98"/>
      <c r="P542" s="99"/>
    </row>
    <row r="543" spans="1:16" s="146" customFormat="1" ht="18" hidden="1" customHeight="1" x14ac:dyDescent="0.25">
      <c r="C543" s="29"/>
      <c r="E543" s="30"/>
      <c r="F543" s="30"/>
      <c r="G543" s="1082" t="s">
        <v>345</v>
      </c>
      <c r="H543" s="1083"/>
      <c r="I543" s="1083"/>
      <c r="J543" s="1084"/>
      <c r="K543" s="1075">
        <f>'BM DETALHADO'!E44</f>
        <v>1</v>
      </c>
      <c r="L543" s="1076"/>
      <c r="M543" s="18"/>
      <c r="N543" s="18"/>
      <c r="O543" s="98"/>
      <c r="P543" s="99"/>
    </row>
    <row r="544" spans="1:16" s="146" customFormat="1" ht="18" hidden="1" customHeight="1" thickBot="1" x14ac:dyDescent="0.3">
      <c r="C544" s="29"/>
      <c r="D544" s="30"/>
      <c r="E544" s="30"/>
      <c r="F544" s="30"/>
      <c r="G544" s="1077" t="s">
        <v>346</v>
      </c>
      <c r="H544" s="1078"/>
      <c r="I544" s="1078"/>
      <c r="J544" s="1079"/>
      <c r="K544" s="1068">
        <f>K543-K542</f>
        <v>0</v>
      </c>
      <c r="L544" s="1069"/>
      <c r="M544" s="18"/>
      <c r="N544" s="18"/>
      <c r="O544" s="98"/>
      <c r="P544" s="99"/>
    </row>
    <row r="545" spans="3:16" s="146" customFormat="1" ht="9.9499999999999993" hidden="1" customHeight="1" thickBot="1" x14ac:dyDescent="0.3">
      <c r="C545" s="21"/>
      <c r="D545" s="22"/>
      <c r="E545" s="22"/>
      <c r="F545" s="22"/>
      <c r="G545" s="360"/>
      <c r="H545" s="360"/>
      <c r="I545" s="360"/>
      <c r="J545" s="360"/>
      <c r="K545" s="361"/>
      <c r="L545" s="361"/>
      <c r="M545" s="22"/>
      <c r="N545" s="22"/>
      <c r="O545" s="100"/>
      <c r="P545" s="101"/>
    </row>
    <row r="546" spans="3:16" s="146" customFormat="1" ht="18" hidden="1" customHeight="1" x14ac:dyDescent="0.25">
      <c r="C546" s="20" t="s">
        <v>34</v>
      </c>
      <c r="D546" s="1052" t="s">
        <v>35</v>
      </c>
      <c r="E546" s="1053"/>
      <c r="F546" s="1053"/>
      <c r="G546" s="1053"/>
      <c r="H546" s="1053"/>
      <c r="I546" s="1053"/>
      <c r="J546" s="1053"/>
      <c r="K546" s="1053"/>
      <c r="L546" s="1053"/>
      <c r="M546" s="1054"/>
      <c r="N546" s="278" t="s">
        <v>0</v>
      </c>
      <c r="O546" s="1107" t="s">
        <v>4</v>
      </c>
      <c r="P546" s="1108"/>
    </row>
    <row r="547" spans="3:16" s="146" customFormat="1" ht="69.95" hidden="1" customHeight="1" thickBot="1" x14ac:dyDescent="0.3">
      <c r="C547" s="261" t="s">
        <v>310</v>
      </c>
      <c r="D547" s="1129" t="str">
        <f>'BM DETALHADO'!C45</f>
        <v>BARRACÃO DE OBRA PARA ESCRITÓRIO DA EMPREITEIRA TIPO-I, ÁREA INTERNA 18,15M2, EM CHAPA DE COMPENSADO RESINADO, INCLUSIVE MOBILIÁRIO (OBRA DE PEQUENO A MÉDIO PORTE, EFETIVO ATÉ 60 HOMENS) - PADRÃO DEER-MG</v>
      </c>
      <c r="E547" s="1130"/>
      <c r="F547" s="1130"/>
      <c r="G547" s="1130"/>
      <c r="H547" s="1130"/>
      <c r="I547" s="1130"/>
      <c r="J547" s="1130"/>
      <c r="K547" s="1130"/>
      <c r="L547" s="1130"/>
      <c r="M547" s="1131"/>
      <c r="N547" s="262" t="str">
        <f>'BM DETALHADO'!D45</f>
        <v xml:space="preserve">UN </v>
      </c>
      <c r="O547" s="1218"/>
      <c r="P547" s="1219"/>
    </row>
    <row r="548" spans="3:16" s="146" customFormat="1" ht="9.9499999999999993" hidden="1" customHeight="1" x14ac:dyDescent="0.25">
      <c r="C548" s="288"/>
      <c r="D548" s="18"/>
      <c r="E548" s="18"/>
      <c r="F548" s="18"/>
      <c r="G548" s="289"/>
      <c r="H548" s="289"/>
      <c r="I548" s="289"/>
      <c r="J548" s="289"/>
      <c r="K548" s="290"/>
      <c r="L548" s="290"/>
      <c r="M548" s="18"/>
      <c r="N548" s="18"/>
      <c r="O548" s="98"/>
      <c r="P548" s="99"/>
    </row>
    <row r="549" spans="3:16" s="146" customFormat="1" ht="18" hidden="1" customHeight="1" x14ac:dyDescent="0.25">
      <c r="C549" s="288"/>
      <c r="D549" s="370"/>
      <c r="E549" s="370"/>
      <c r="F549" s="370"/>
      <c r="G549" s="370"/>
      <c r="H549" s="178"/>
      <c r="I549" s="319"/>
      <c r="J549" s="277"/>
      <c r="K549" s="357"/>
      <c r="L549" s="357"/>
      <c r="M549" s="18"/>
      <c r="N549" s="18"/>
      <c r="O549" s="98"/>
      <c r="P549" s="99"/>
    </row>
    <row r="550" spans="3:16" s="146" customFormat="1" ht="18" hidden="1" customHeight="1" x14ac:dyDescent="0.25">
      <c r="C550" s="288"/>
      <c r="D550" s="18"/>
      <c r="E550" s="18"/>
      <c r="F550" s="18"/>
      <c r="G550" s="356"/>
      <c r="H550" s="356"/>
      <c r="I550" s="356"/>
      <c r="J550" s="356"/>
      <c r="K550" s="357"/>
      <c r="L550" s="357"/>
      <c r="M550" s="18"/>
      <c r="N550" s="18"/>
      <c r="O550" s="98"/>
      <c r="P550" s="99"/>
    </row>
    <row r="551" spans="3:16" s="146" customFormat="1" ht="18" hidden="1" customHeight="1" x14ac:dyDescent="0.25">
      <c r="C551" s="288"/>
      <c r="D551" s="18"/>
      <c r="E551" s="18"/>
      <c r="F551" s="18"/>
      <c r="G551" s="356"/>
      <c r="H551" s="356"/>
      <c r="I551" s="356"/>
      <c r="J551" s="356"/>
      <c r="K551" s="357"/>
      <c r="L551" s="357"/>
      <c r="M551" s="18"/>
      <c r="N551" s="18"/>
      <c r="O551" s="98"/>
      <c r="P551" s="99"/>
    </row>
    <row r="552" spans="3:16" s="146" customFormat="1" ht="18" hidden="1" customHeight="1" x14ac:dyDescent="0.25">
      <c r="C552" s="288"/>
      <c r="D552" s="18"/>
      <c r="E552" s="18"/>
      <c r="F552" s="18"/>
      <c r="G552" s="356"/>
      <c r="H552" s="356"/>
      <c r="I552" s="356"/>
      <c r="J552" s="356"/>
      <c r="K552" s="357"/>
      <c r="L552" s="357"/>
      <c r="M552" s="18"/>
      <c r="N552" s="18"/>
      <c r="O552" s="98"/>
      <c r="P552" s="99"/>
    </row>
    <row r="553" spans="3:16" s="146" customFormat="1" ht="18" hidden="1" customHeight="1" x14ac:dyDescent="0.25">
      <c r="C553" s="288"/>
      <c r="D553" s="18"/>
      <c r="E553" s="18"/>
      <c r="F553" s="18"/>
      <c r="G553" s="356"/>
      <c r="H553" s="356"/>
      <c r="I553" s="356"/>
      <c r="J553" s="356"/>
      <c r="K553" s="357"/>
      <c r="L553" s="357"/>
      <c r="M553" s="18"/>
      <c r="N553" s="18"/>
      <c r="O553" s="98"/>
      <c r="P553" s="99"/>
    </row>
    <row r="554" spans="3:16" s="146" customFormat="1" ht="18" hidden="1" customHeight="1" x14ac:dyDescent="0.25">
      <c r="C554" s="288"/>
      <c r="D554" s="18"/>
      <c r="E554" s="18"/>
      <c r="F554" s="18"/>
      <c r="G554" s="356"/>
      <c r="H554" s="356"/>
      <c r="I554" s="356"/>
      <c r="J554" s="356"/>
      <c r="K554" s="357"/>
      <c r="L554" s="357"/>
      <c r="M554" s="18"/>
      <c r="N554" s="18"/>
      <c r="O554" s="98"/>
      <c r="P554" s="99"/>
    </row>
    <row r="555" spans="3:16" s="146" customFormat="1" ht="18" hidden="1" customHeight="1" x14ac:dyDescent="0.25">
      <c r="C555" s="288"/>
      <c r="D555" s="18"/>
      <c r="E555" s="18"/>
      <c r="F555" s="18"/>
      <c r="G555" s="356"/>
      <c r="H555" s="356"/>
      <c r="I555" s="356"/>
      <c r="J555" s="356"/>
      <c r="K555" s="357"/>
      <c r="L555" s="357"/>
      <c r="M555" s="18"/>
      <c r="N555" s="18"/>
      <c r="O555" s="98"/>
      <c r="P555" s="99"/>
    </row>
    <row r="556" spans="3:16" s="146" customFormat="1" ht="18" hidden="1" customHeight="1" x14ac:dyDescent="0.25">
      <c r="C556" s="288"/>
      <c r="D556" s="18"/>
      <c r="E556" s="18"/>
      <c r="F556" s="18"/>
      <c r="G556" s="356"/>
      <c r="H556" s="356"/>
      <c r="I556" s="356"/>
      <c r="J556" s="356"/>
      <c r="K556" s="357"/>
      <c r="L556" s="357"/>
      <c r="M556" s="18"/>
      <c r="N556" s="18"/>
      <c r="O556" s="98"/>
      <c r="P556" s="99"/>
    </row>
    <row r="557" spans="3:16" s="146" customFormat="1" ht="18" hidden="1" customHeight="1" x14ac:dyDescent="0.25">
      <c r="C557" s="288"/>
      <c r="D557" s="18"/>
      <c r="E557" s="18"/>
      <c r="F557" s="18"/>
      <c r="G557" s="356"/>
      <c r="H557" s="356"/>
      <c r="I557" s="356"/>
      <c r="J557" s="356"/>
      <c r="K557" s="357"/>
      <c r="L557" s="357"/>
      <c r="M557" s="18"/>
      <c r="N557" s="18"/>
      <c r="O557" s="98"/>
      <c r="P557" s="99"/>
    </row>
    <row r="558" spans="3:16" s="146" customFormat="1" ht="18" hidden="1" customHeight="1" x14ac:dyDescent="0.25">
      <c r="C558" s="288"/>
      <c r="D558" s="18"/>
      <c r="E558" s="18"/>
      <c r="F558" s="18"/>
      <c r="G558" s="356"/>
      <c r="H558" s="356"/>
      <c r="I558" s="356"/>
      <c r="J558" s="356"/>
      <c r="K558" s="357"/>
      <c r="L558" s="357"/>
      <c r="M558" s="18"/>
      <c r="N558" s="18"/>
      <c r="O558" s="98"/>
      <c r="P558" s="99"/>
    </row>
    <row r="559" spans="3:16" s="146" customFormat="1" ht="18" hidden="1" customHeight="1" x14ac:dyDescent="0.25">
      <c r="C559" s="288"/>
      <c r="D559" s="18"/>
      <c r="E559" s="18"/>
      <c r="F559" s="18"/>
      <c r="G559" s="356"/>
      <c r="H559" s="356"/>
      <c r="I559" s="356"/>
      <c r="J559" s="356"/>
      <c r="K559" s="357"/>
      <c r="L559" s="357"/>
      <c r="M559" s="18"/>
      <c r="N559" s="18"/>
      <c r="O559" s="98"/>
      <c r="P559" s="99"/>
    </row>
    <row r="560" spans="3:16" s="146" customFormat="1" ht="18" hidden="1" customHeight="1" x14ac:dyDescent="0.25">
      <c r="C560" s="288"/>
      <c r="D560" s="18"/>
      <c r="E560" s="18"/>
      <c r="F560" s="18"/>
      <c r="G560" s="356"/>
      <c r="H560" s="356"/>
      <c r="I560" s="356"/>
      <c r="J560" s="356"/>
      <c r="K560" s="357"/>
      <c r="L560" s="357"/>
      <c r="M560" s="18"/>
      <c r="N560" s="18"/>
      <c r="O560" s="98"/>
      <c r="P560" s="99"/>
    </row>
    <row r="561" spans="3:16" s="146" customFormat="1" ht="18" hidden="1" customHeight="1" x14ac:dyDescent="0.25">
      <c r="C561" s="288"/>
      <c r="D561" s="18"/>
      <c r="E561" s="18"/>
      <c r="F561" s="18"/>
      <c r="G561" s="356"/>
      <c r="H561" s="356"/>
      <c r="I561" s="356"/>
      <c r="J561" s="356"/>
      <c r="K561" s="357"/>
      <c r="L561" s="357"/>
      <c r="M561" s="18"/>
      <c r="N561" s="18"/>
      <c r="O561" s="98"/>
      <c r="P561" s="99"/>
    </row>
    <row r="562" spans="3:16" s="146" customFormat="1" ht="9.9499999999999993" hidden="1" customHeight="1" thickBot="1" x14ac:dyDescent="0.3">
      <c r="C562" s="288"/>
      <c r="D562" s="18"/>
      <c r="E562" s="18"/>
      <c r="F562" s="18"/>
      <c r="G562" s="356"/>
      <c r="H562" s="356"/>
      <c r="I562" s="356"/>
      <c r="J562" s="356"/>
      <c r="K562" s="357"/>
      <c r="L562" s="357"/>
      <c r="M562" s="18"/>
      <c r="N562" s="18"/>
      <c r="O562" s="98"/>
      <c r="P562" s="99"/>
    </row>
    <row r="563" spans="3:16" s="146" customFormat="1" ht="18" hidden="1" customHeight="1" x14ac:dyDescent="0.25">
      <c r="C563" s="288"/>
      <c r="D563" s="18"/>
      <c r="E563" s="18"/>
      <c r="F563" s="18"/>
      <c r="G563" s="1041" t="s">
        <v>343</v>
      </c>
      <c r="H563" s="1042"/>
      <c r="I563" s="1042"/>
      <c r="J563" s="1043"/>
      <c r="K563" s="1085">
        <f>'BM DETALHADO'!J45</f>
        <v>1</v>
      </c>
      <c r="L563" s="1086"/>
      <c r="M563" s="18"/>
      <c r="N563" s="18"/>
      <c r="O563" s="98"/>
      <c r="P563" s="99"/>
    </row>
    <row r="564" spans="3:16" s="146" customFormat="1" ht="18" hidden="1" customHeight="1" x14ac:dyDescent="0.25">
      <c r="C564" s="288"/>
      <c r="D564" s="18"/>
      <c r="E564" s="18"/>
      <c r="F564" s="18"/>
      <c r="G564" s="1082" t="s">
        <v>344</v>
      </c>
      <c r="H564" s="1083"/>
      <c r="I564" s="1083"/>
      <c r="J564" s="1084"/>
      <c r="K564" s="1075">
        <f>K563+O559</f>
        <v>1</v>
      </c>
      <c r="L564" s="1076"/>
      <c r="M564" s="18"/>
      <c r="N564" s="18"/>
      <c r="O564" s="98"/>
      <c r="P564" s="99"/>
    </row>
    <row r="565" spans="3:16" s="146" customFormat="1" ht="18" hidden="1" customHeight="1" x14ac:dyDescent="0.25">
      <c r="C565" s="288"/>
      <c r="D565" s="18"/>
      <c r="E565" s="18"/>
      <c r="F565" s="18"/>
      <c r="G565" s="1082" t="s">
        <v>345</v>
      </c>
      <c r="H565" s="1083"/>
      <c r="I565" s="1083"/>
      <c r="J565" s="1084"/>
      <c r="K565" s="1075">
        <f>'BM DETALHADO'!E45</f>
        <v>1</v>
      </c>
      <c r="L565" s="1076"/>
      <c r="M565" s="18"/>
      <c r="N565" s="18"/>
      <c r="O565" s="98"/>
      <c r="P565" s="99"/>
    </row>
    <row r="566" spans="3:16" s="146" customFormat="1" ht="18" hidden="1" customHeight="1" thickBot="1" x14ac:dyDescent="0.3">
      <c r="C566" s="288"/>
      <c r="D566" s="18"/>
      <c r="E566" s="18"/>
      <c r="F566" s="18"/>
      <c r="G566" s="1077" t="s">
        <v>346</v>
      </c>
      <c r="H566" s="1078"/>
      <c r="I566" s="1078"/>
      <c r="J566" s="1079"/>
      <c r="K566" s="1068">
        <f>K565-K564</f>
        <v>0</v>
      </c>
      <c r="L566" s="1069"/>
      <c r="M566" s="18"/>
      <c r="N566" s="18"/>
      <c r="O566" s="98"/>
      <c r="P566" s="99"/>
    </row>
    <row r="567" spans="3:16" s="146" customFormat="1" ht="9.9499999999999993" hidden="1" customHeight="1" thickBot="1" x14ac:dyDescent="0.3">
      <c r="C567" s="21"/>
      <c r="D567" s="22"/>
      <c r="E567" s="22"/>
      <c r="F567" s="22"/>
      <c r="G567" s="360"/>
      <c r="H567" s="360"/>
      <c r="I567" s="360"/>
      <c r="J567" s="360"/>
      <c r="K567" s="361"/>
      <c r="L567" s="361"/>
      <c r="M567" s="22"/>
      <c r="N567" s="22"/>
      <c r="O567" s="100"/>
      <c r="P567" s="101"/>
    </row>
    <row r="568" spans="3:16" s="146" customFormat="1" ht="18" hidden="1" customHeight="1" x14ac:dyDescent="0.25">
      <c r="C568" s="20" t="s">
        <v>34</v>
      </c>
      <c r="D568" s="1052" t="s">
        <v>35</v>
      </c>
      <c r="E568" s="1053"/>
      <c r="F568" s="1053"/>
      <c r="G568" s="1053"/>
      <c r="H568" s="1053"/>
      <c r="I568" s="1053"/>
      <c r="J568" s="1053"/>
      <c r="K568" s="1053"/>
      <c r="L568" s="1053"/>
      <c r="M568" s="1054"/>
      <c r="N568" s="278" t="s">
        <v>0</v>
      </c>
      <c r="O568" s="1107" t="s">
        <v>4</v>
      </c>
      <c r="P568" s="1108"/>
    </row>
    <row r="569" spans="3:16" s="146" customFormat="1" ht="69.95" hidden="1" customHeight="1" thickBot="1" x14ac:dyDescent="0.3">
      <c r="C569" s="261" t="s">
        <v>311</v>
      </c>
      <c r="D569" s="1129" t="str">
        <f>'BM DETALHADO'!C46</f>
        <v>EXECUÇÃO DE ALMOXARIFADO EM CANTEIRO DE OBRA EM CHAPA DE MADEIRA COMPENSADA, INCLUSO PRATELEIRAS. AF_02/2016</v>
      </c>
      <c r="E569" s="1130"/>
      <c r="F569" s="1130"/>
      <c r="G569" s="1130"/>
      <c r="H569" s="1130"/>
      <c r="I569" s="1130"/>
      <c r="J569" s="1130"/>
      <c r="K569" s="1130"/>
      <c r="L569" s="1130"/>
      <c r="M569" s="1131"/>
      <c r="N569" s="262" t="str">
        <f>'BM DETALHADO'!D46</f>
        <v>m²</v>
      </c>
      <c r="O569" s="1218"/>
      <c r="P569" s="1219"/>
    </row>
    <row r="570" spans="3:16" s="146" customFormat="1" ht="18" hidden="1" customHeight="1" x14ac:dyDescent="0.25">
      <c r="C570" s="288"/>
      <c r="D570" s="18"/>
      <c r="E570" s="18"/>
      <c r="F570" s="18"/>
      <c r="G570" s="356"/>
      <c r="H570" s="356"/>
      <c r="I570" s="356"/>
      <c r="J570" s="356"/>
      <c r="K570" s="357"/>
      <c r="L570" s="357"/>
      <c r="M570" s="18"/>
      <c r="N570" s="18"/>
      <c r="O570" s="98"/>
      <c r="P570" s="99"/>
    </row>
    <row r="571" spans="3:16" s="146" customFormat="1" ht="18" hidden="1" customHeight="1" x14ac:dyDescent="0.25">
      <c r="C571" s="288"/>
      <c r="D571" s="370"/>
      <c r="E571" s="370"/>
      <c r="F571" s="370"/>
      <c r="G571" s="370"/>
      <c r="H571" s="178"/>
      <c r="I571" s="319"/>
      <c r="J571" s="277"/>
      <c r="K571" s="292"/>
      <c r="L571" s="292"/>
      <c r="M571" s="18"/>
      <c r="N571" s="18"/>
      <c r="O571" s="98"/>
      <c r="P571" s="99"/>
    </row>
    <row r="572" spans="3:16" s="146" customFormat="1" ht="18" hidden="1" customHeight="1" x14ac:dyDescent="0.25">
      <c r="C572" s="288"/>
      <c r="D572" s="18"/>
      <c r="E572" s="18"/>
      <c r="F572" s="348"/>
      <c r="G572" s="293"/>
      <c r="H572" s="291"/>
      <c r="I572" s="291"/>
      <c r="J572" s="291"/>
      <c r="K572" s="292"/>
      <c r="L572" s="292"/>
      <c r="M572" s="18"/>
      <c r="N572" s="18"/>
      <c r="O572" s="98"/>
      <c r="P572" s="99"/>
    </row>
    <row r="573" spans="3:16" s="146" customFormat="1" ht="18" hidden="1" customHeight="1" x14ac:dyDescent="0.25">
      <c r="C573" s="288"/>
      <c r="D573" s="371"/>
      <c r="E573" s="371"/>
      <c r="F573" s="349"/>
      <c r="G573" s="294"/>
      <c r="H573" s="295"/>
      <c r="I573" s="291"/>
      <c r="J573" s="291"/>
      <c r="K573" s="292"/>
      <c r="L573" s="292"/>
      <c r="M573" s="18"/>
      <c r="N573" s="18"/>
      <c r="O573" s="98"/>
      <c r="P573" s="99"/>
    </row>
    <row r="574" spans="3:16" s="146" customFormat="1" ht="18" hidden="1" customHeight="1" x14ac:dyDescent="0.25">
      <c r="C574" s="288"/>
      <c r="D574" s="18"/>
      <c r="E574" s="18"/>
      <c r="F574" s="18"/>
      <c r="G574" s="291"/>
      <c r="H574" s="291"/>
      <c r="I574" s="291"/>
      <c r="J574" s="291"/>
      <c r="K574" s="292"/>
      <c r="L574" s="292"/>
      <c r="M574" s="18"/>
      <c r="N574" s="18"/>
      <c r="O574" s="98"/>
      <c r="P574" s="99"/>
    </row>
    <row r="575" spans="3:16" s="146" customFormat="1" ht="18" hidden="1" customHeight="1" x14ac:dyDescent="0.25">
      <c r="C575" s="288"/>
      <c r="D575" s="18"/>
      <c r="E575" s="18"/>
      <c r="F575" s="18"/>
      <c r="G575" s="291"/>
      <c r="H575" s="291"/>
      <c r="I575" s="291"/>
      <c r="J575" s="291"/>
      <c r="K575" s="292"/>
      <c r="L575" s="292"/>
      <c r="M575" s="18"/>
      <c r="N575" s="18"/>
      <c r="O575" s="98"/>
      <c r="P575" s="99"/>
    </row>
    <row r="576" spans="3:16" s="146" customFormat="1" ht="18" hidden="1" customHeight="1" x14ac:dyDescent="0.25">
      <c r="C576" s="288"/>
      <c r="D576" s="18"/>
      <c r="E576" s="18"/>
      <c r="F576" s="18"/>
      <c r="G576" s="291"/>
      <c r="H576" s="291"/>
      <c r="I576" s="291"/>
      <c r="J576" s="291"/>
      <c r="K576" s="292"/>
      <c r="L576" s="292"/>
      <c r="M576" s="18"/>
      <c r="N576" s="18"/>
      <c r="O576" s="98"/>
      <c r="P576" s="99"/>
    </row>
    <row r="577" spans="3:16" s="146" customFormat="1" ht="18" hidden="1" customHeight="1" x14ac:dyDescent="0.25">
      <c r="C577" s="288"/>
      <c r="D577" s="18"/>
      <c r="E577" s="18"/>
      <c r="F577" s="18"/>
      <c r="G577" s="291"/>
      <c r="H577" s="291"/>
      <c r="I577" s="291"/>
      <c r="J577" s="291"/>
      <c r="K577" s="292"/>
      <c r="L577" s="292"/>
      <c r="M577" s="18"/>
      <c r="N577" s="18"/>
      <c r="O577" s="98"/>
      <c r="P577" s="99"/>
    </row>
    <row r="578" spans="3:16" s="146" customFormat="1" ht="18" hidden="1" customHeight="1" x14ac:dyDescent="0.25">
      <c r="C578" s="288"/>
      <c r="D578" s="18"/>
      <c r="E578" s="18"/>
      <c r="F578" s="18"/>
      <c r="G578" s="291"/>
      <c r="H578" s="291"/>
      <c r="I578" s="291"/>
      <c r="J578" s="291"/>
      <c r="K578" s="292"/>
      <c r="L578" s="292"/>
      <c r="M578" s="18"/>
      <c r="N578" s="18"/>
      <c r="O578" s="98"/>
      <c r="P578" s="99"/>
    </row>
    <row r="579" spans="3:16" s="146" customFormat="1" ht="18" hidden="1" customHeight="1" x14ac:dyDescent="0.25">
      <c r="C579" s="288"/>
      <c r="D579" s="18"/>
      <c r="E579" s="18"/>
      <c r="F579" s="18"/>
      <c r="G579" s="291"/>
      <c r="H579" s="291"/>
      <c r="I579" s="291"/>
      <c r="J579" s="291"/>
      <c r="K579" s="292"/>
      <c r="L579" s="292"/>
      <c r="M579" s="18"/>
      <c r="N579" s="18"/>
      <c r="O579" s="98"/>
      <c r="P579" s="99"/>
    </row>
    <row r="580" spans="3:16" s="146" customFormat="1" ht="18" hidden="1" customHeight="1" x14ac:dyDescent="0.25">
      <c r="C580" s="288"/>
      <c r="D580" s="18"/>
      <c r="E580" s="18"/>
      <c r="F580" s="18"/>
      <c r="G580" s="291"/>
      <c r="H580" s="291"/>
      <c r="I580" s="291"/>
      <c r="J580" s="291"/>
      <c r="K580" s="292"/>
      <c r="L580" s="292"/>
      <c r="M580" s="18"/>
      <c r="N580" s="18"/>
      <c r="O580" s="98"/>
      <c r="P580" s="99"/>
    </row>
    <row r="581" spans="3:16" s="146" customFormat="1" ht="9.9499999999999993" hidden="1" customHeight="1" thickBot="1" x14ac:dyDescent="0.3">
      <c r="C581" s="288"/>
      <c r="D581" s="18"/>
      <c r="E581" s="18"/>
      <c r="F581" s="18"/>
      <c r="G581" s="356"/>
      <c r="H581" s="356"/>
      <c r="I581" s="356"/>
      <c r="J581" s="356"/>
      <c r="K581" s="357"/>
      <c r="L581" s="357"/>
      <c r="M581" s="18"/>
      <c r="N581" s="18"/>
      <c r="O581" s="98"/>
      <c r="P581" s="99"/>
    </row>
    <row r="582" spans="3:16" s="146" customFormat="1" ht="18" hidden="1" customHeight="1" x14ac:dyDescent="0.25">
      <c r="C582" s="288"/>
      <c r="D582" s="18"/>
      <c r="E582" s="18"/>
      <c r="F582" s="18"/>
      <c r="G582" s="1041" t="s">
        <v>343</v>
      </c>
      <c r="H582" s="1042"/>
      <c r="I582" s="1042"/>
      <c r="J582" s="1043"/>
      <c r="K582" s="1085">
        <f>'BM DETALHADO'!J46</f>
        <v>9</v>
      </c>
      <c r="L582" s="1086"/>
      <c r="M582" s="18"/>
      <c r="N582" s="18"/>
      <c r="O582" s="98"/>
      <c r="P582" s="99"/>
    </row>
    <row r="583" spans="3:16" s="146" customFormat="1" ht="18" hidden="1" customHeight="1" x14ac:dyDescent="0.25">
      <c r="C583" s="288"/>
      <c r="D583" s="18"/>
      <c r="E583" s="18"/>
      <c r="F583" s="18"/>
      <c r="G583" s="1082" t="s">
        <v>344</v>
      </c>
      <c r="H583" s="1083"/>
      <c r="I583" s="1083"/>
      <c r="J583" s="1084"/>
      <c r="K583" s="1075">
        <f>K582+O578</f>
        <v>9</v>
      </c>
      <c r="L583" s="1076"/>
      <c r="M583" s="18"/>
      <c r="N583" s="18"/>
      <c r="O583" s="98"/>
      <c r="P583" s="99"/>
    </row>
    <row r="584" spans="3:16" s="146" customFormat="1" ht="18" hidden="1" customHeight="1" x14ac:dyDescent="0.25">
      <c r="C584" s="288"/>
      <c r="D584" s="18"/>
      <c r="E584" s="18"/>
      <c r="F584" s="18"/>
      <c r="G584" s="1082" t="s">
        <v>345</v>
      </c>
      <c r="H584" s="1083"/>
      <c r="I584" s="1083"/>
      <c r="J584" s="1084"/>
      <c r="K584" s="1075">
        <f>'BM DETALHADO'!E46</f>
        <v>9</v>
      </c>
      <c r="L584" s="1076"/>
      <c r="M584" s="18"/>
      <c r="N584" s="18"/>
      <c r="O584" s="98"/>
      <c r="P584" s="99"/>
    </row>
    <row r="585" spans="3:16" s="146" customFormat="1" ht="18" hidden="1" customHeight="1" thickBot="1" x14ac:dyDescent="0.3">
      <c r="C585" s="288"/>
      <c r="D585" s="18"/>
      <c r="E585" s="18"/>
      <c r="F585" s="18"/>
      <c r="G585" s="1077" t="s">
        <v>346</v>
      </c>
      <c r="H585" s="1078"/>
      <c r="I585" s="1078"/>
      <c r="J585" s="1079"/>
      <c r="K585" s="1068">
        <f>K584-K583</f>
        <v>0</v>
      </c>
      <c r="L585" s="1069"/>
      <c r="M585" s="18"/>
      <c r="N585" s="18"/>
      <c r="O585" s="98"/>
      <c r="P585" s="99"/>
    </row>
    <row r="586" spans="3:16" s="146" customFormat="1" ht="9.9499999999999993" hidden="1" customHeight="1" thickBot="1" x14ac:dyDescent="0.3">
      <c r="C586" s="21"/>
      <c r="D586" s="22"/>
      <c r="E586" s="22"/>
      <c r="F586" s="22"/>
      <c r="G586" s="360"/>
      <c r="H586" s="360"/>
      <c r="I586" s="360"/>
      <c r="J586" s="360"/>
      <c r="K586" s="361"/>
      <c r="L586" s="361"/>
      <c r="M586" s="22"/>
      <c r="N586" s="22"/>
      <c r="O586" s="100"/>
      <c r="P586" s="101"/>
    </row>
    <row r="587" spans="3:16" s="146" customFormat="1" ht="18" hidden="1" customHeight="1" x14ac:dyDescent="0.25">
      <c r="C587" s="20" t="s">
        <v>34</v>
      </c>
      <c r="D587" s="1052" t="s">
        <v>35</v>
      </c>
      <c r="E587" s="1053"/>
      <c r="F587" s="1053"/>
      <c r="G587" s="1053"/>
      <c r="H587" s="1053"/>
      <c r="I587" s="1053"/>
      <c r="J587" s="1053"/>
      <c r="K587" s="1053"/>
      <c r="L587" s="1053"/>
      <c r="M587" s="1054"/>
      <c r="N587" s="278" t="s">
        <v>0</v>
      </c>
      <c r="O587" s="1107" t="s">
        <v>4</v>
      </c>
      <c r="P587" s="1108"/>
    </row>
    <row r="588" spans="3:16" s="146" customFormat="1" ht="69.95" hidden="1" customHeight="1" thickBot="1" x14ac:dyDescent="0.3">
      <c r="C588" s="261" t="s">
        <v>312</v>
      </c>
      <c r="D588" s="1129" t="str">
        <f>'BM DETALHADO'!C47</f>
        <v>EXECUÇÃO DE REFEITÓRIO EM CANTEIRO DE OBRA EM CHAPA DE MADEIRA COMPENSADA, NÃO INCLUSO MOBILIÁRIO E EQUIPAMENTOS. AF_02/2016</v>
      </c>
      <c r="E588" s="1130"/>
      <c r="F588" s="1130"/>
      <c r="G588" s="1130"/>
      <c r="H588" s="1130"/>
      <c r="I588" s="1130"/>
      <c r="J588" s="1130"/>
      <c r="K588" s="1130"/>
      <c r="L588" s="1130"/>
      <c r="M588" s="1131"/>
      <c r="N588" s="262" t="str">
        <f>'BM DETALHADO'!D47</f>
        <v>m²</v>
      </c>
      <c r="O588" s="1218"/>
      <c r="P588" s="1219"/>
    </row>
    <row r="589" spans="3:16" s="146" customFormat="1" ht="9.9499999999999993" hidden="1" customHeight="1" x14ac:dyDescent="0.25">
      <c r="C589" s="288"/>
      <c r="D589" s="18"/>
      <c r="E589" s="18"/>
      <c r="F589" s="18"/>
      <c r="G589" s="289"/>
      <c r="H589" s="289"/>
      <c r="I589" s="289"/>
      <c r="J589" s="289"/>
      <c r="K589" s="290"/>
      <c r="L589" s="290"/>
      <c r="M589" s="18"/>
      <c r="N589" s="18"/>
      <c r="O589" s="98"/>
      <c r="P589" s="99"/>
    </row>
    <row r="590" spans="3:16" s="146" customFormat="1" ht="18" hidden="1" customHeight="1" x14ac:dyDescent="0.25">
      <c r="C590" s="288"/>
      <c r="D590" s="370"/>
      <c r="E590" s="370"/>
      <c r="F590" s="370"/>
      <c r="G590" s="370"/>
      <c r="H590" s="178"/>
      <c r="I590" s="319"/>
      <c r="J590" s="277"/>
      <c r="K590" s="357"/>
      <c r="L590" s="357"/>
      <c r="M590" s="18"/>
      <c r="N590" s="18"/>
      <c r="O590" s="98"/>
      <c r="P590" s="99"/>
    </row>
    <row r="591" spans="3:16" s="146" customFormat="1" ht="18" hidden="1" customHeight="1" x14ac:dyDescent="0.25">
      <c r="C591" s="288"/>
      <c r="D591" s="18"/>
      <c r="E591" s="18"/>
      <c r="F591" s="348"/>
      <c r="G591" s="293"/>
      <c r="H591" s="291"/>
      <c r="I591" s="356"/>
      <c r="J591" s="356"/>
      <c r="K591" s="357"/>
      <c r="L591" s="357"/>
      <c r="M591" s="18"/>
      <c r="N591" s="18"/>
      <c r="O591" s="98"/>
      <c r="P591" s="99"/>
    </row>
    <row r="592" spans="3:16" s="146" customFormat="1" ht="18" hidden="1" customHeight="1" x14ac:dyDescent="0.25">
      <c r="C592" s="288"/>
      <c r="D592" s="371"/>
      <c r="E592" s="371"/>
      <c r="F592" s="349"/>
      <c r="G592" s="294"/>
      <c r="H592" s="295"/>
      <c r="I592" s="356"/>
      <c r="J592" s="356"/>
      <c r="K592" s="357"/>
      <c r="L592" s="357"/>
      <c r="M592" s="18"/>
      <c r="N592" s="18"/>
      <c r="O592" s="98"/>
      <c r="P592" s="99"/>
    </row>
    <row r="593" spans="3:16" s="146" customFormat="1" ht="18" hidden="1" customHeight="1" x14ac:dyDescent="0.25">
      <c r="C593" s="288"/>
      <c r="D593" s="18"/>
      <c r="E593" s="18"/>
      <c r="F593" s="18"/>
      <c r="G593" s="356"/>
      <c r="H593" s="356"/>
      <c r="I593" s="356"/>
      <c r="J593" s="356"/>
      <c r="K593" s="357"/>
      <c r="L593" s="357"/>
      <c r="M593" s="18"/>
      <c r="N593" s="18"/>
      <c r="O593" s="98"/>
      <c r="P593" s="99"/>
    </row>
    <row r="594" spans="3:16" s="146" customFormat="1" ht="18" hidden="1" customHeight="1" x14ac:dyDescent="0.25">
      <c r="C594" s="288"/>
      <c r="D594" s="18"/>
      <c r="E594" s="18"/>
      <c r="F594" s="18"/>
      <c r="G594" s="356"/>
      <c r="H594" s="356"/>
      <c r="I594" s="356"/>
      <c r="J594" s="356"/>
      <c r="K594" s="357"/>
      <c r="L594" s="357"/>
      <c r="M594" s="18"/>
      <c r="N594" s="18"/>
      <c r="O594" s="98"/>
      <c r="P594" s="99"/>
    </row>
    <row r="595" spans="3:16" s="146" customFormat="1" ht="18" hidden="1" customHeight="1" x14ac:dyDescent="0.25">
      <c r="C595" s="288"/>
      <c r="D595" s="18"/>
      <c r="E595" s="18"/>
      <c r="F595" s="18"/>
      <c r="G595" s="356"/>
      <c r="H595" s="356"/>
      <c r="I595" s="356"/>
      <c r="J595" s="356"/>
      <c r="K595" s="357"/>
      <c r="L595" s="357"/>
      <c r="M595" s="18"/>
      <c r="N595" s="18"/>
      <c r="O595" s="98"/>
      <c r="P595" s="99"/>
    </row>
    <row r="596" spans="3:16" s="146" customFormat="1" ht="18" hidden="1" customHeight="1" x14ac:dyDescent="0.25">
      <c r="C596" s="288"/>
      <c r="D596" s="18"/>
      <c r="E596" s="18"/>
      <c r="F596" s="18"/>
      <c r="G596" s="356"/>
      <c r="H596" s="356"/>
      <c r="I596" s="356"/>
      <c r="J596" s="356"/>
      <c r="K596" s="357"/>
      <c r="L596" s="357"/>
      <c r="M596" s="18"/>
      <c r="N596" s="18"/>
      <c r="O596" s="98"/>
      <c r="P596" s="99"/>
    </row>
    <row r="597" spans="3:16" s="146" customFormat="1" ht="18" hidden="1" customHeight="1" x14ac:dyDescent="0.25">
      <c r="C597" s="288"/>
      <c r="D597" s="18"/>
      <c r="E597" s="18"/>
      <c r="F597" s="18"/>
      <c r="G597" s="356"/>
      <c r="H597" s="356"/>
      <c r="I597" s="356"/>
      <c r="J597" s="356"/>
      <c r="K597" s="357"/>
      <c r="L597" s="357"/>
      <c r="M597" s="18"/>
      <c r="N597" s="18"/>
      <c r="O597" s="98"/>
      <c r="P597" s="99"/>
    </row>
    <row r="598" spans="3:16" s="146" customFormat="1" ht="18" hidden="1" customHeight="1" x14ac:dyDescent="0.25">
      <c r="C598" s="288"/>
      <c r="D598" s="18"/>
      <c r="E598" s="18"/>
      <c r="F598" s="18"/>
      <c r="G598" s="356"/>
      <c r="H598" s="356"/>
      <c r="I598" s="356"/>
      <c r="J598" s="356"/>
      <c r="K598" s="357"/>
      <c r="L598" s="357"/>
      <c r="M598" s="18"/>
      <c r="N598" s="18"/>
      <c r="O598" s="98"/>
      <c r="P598" s="99"/>
    </row>
    <row r="599" spans="3:16" s="146" customFormat="1" ht="18" hidden="1" customHeight="1" x14ac:dyDescent="0.25">
      <c r="C599" s="288"/>
      <c r="D599" s="18"/>
      <c r="E599" s="18"/>
      <c r="F599" s="18"/>
      <c r="G599" s="356"/>
      <c r="H599" s="356"/>
      <c r="I599" s="356"/>
      <c r="J599" s="356"/>
      <c r="K599" s="357"/>
      <c r="L599" s="357"/>
      <c r="M599" s="18"/>
      <c r="N599" s="18"/>
      <c r="O599" s="98"/>
      <c r="P599" s="99"/>
    </row>
    <row r="600" spans="3:16" s="146" customFormat="1" ht="18" hidden="1" customHeight="1" x14ac:dyDescent="0.25">
      <c r="C600" s="288"/>
      <c r="D600" s="18"/>
      <c r="E600" s="18"/>
      <c r="F600" s="18"/>
      <c r="G600" s="356"/>
      <c r="H600" s="356"/>
      <c r="I600" s="356"/>
      <c r="J600" s="356"/>
      <c r="K600" s="357"/>
      <c r="L600" s="357"/>
      <c r="M600" s="18"/>
      <c r="N600" s="18"/>
      <c r="O600" s="98"/>
      <c r="P600" s="99"/>
    </row>
    <row r="601" spans="3:16" s="146" customFormat="1" ht="18" hidden="1" customHeight="1" x14ac:dyDescent="0.25">
      <c r="C601" s="288"/>
      <c r="D601" s="18"/>
      <c r="E601" s="18"/>
      <c r="F601" s="18"/>
      <c r="G601" s="356"/>
      <c r="H601" s="356"/>
      <c r="I601" s="356"/>
      <c r="J601" s="356"/>
      <c r="K601" s="357"/>
      <c r="L601" s="357"/>
      <c r="M601" s="18"/>
      <c r="N601" s="18"/>
      <c r="O601" s="98"/>
      <c r="P601" s="99"/>
    </row>
    <row r="602" spans="3:16" s="146" customFormat="1" ht="9.9499999999999993" hidden="1" customHeight="1" thickBot="1" x14ac:dyDescent="0.3">
      <c r="C602" s="288"/>
      <c r="D602" s="18"/>
      <c r="E602" s="18"/>
      <c r="F602" s="18"/>
      <c r="G602" s="356"/>
      <c r="H602" s="356"/>
      <c r="I602" s="356"/>
      <c r="J602" s="356"/>
      <c r="K602" s="357"/>
      <c r="L602" s="357"/>
      <c r="M602" s="18"/>
      <c r="N602" s="18"/>
      <c r="O602" s="98"/>
      <c r="P602" s="99"/>
    </row>
    <row r="603" spans="3:16" s="146" customFormat="1" ht="18" hidden="1" customHeight="1" x14ac:dyDescent="0.25">
      <c r="C603" s="288"/>
      <c r="D603" s="18"/>
      <c r="E603" s="18"/>
      <c r="F603" s="18"/>
      <c r="G603" s="1041" t="s">
        <v>343</v>
      </c>
      <c r="H603" s="1042"/>
      <c r="I603" s="1042"/>
      <c r="J603" s="1043"/>
      <c r="K603" s="1085">
        <f>'BM DETALHADO'!J47</f>
        <v>14</v>
      </c>
      <c r="L603" s="1086"/>
      <c r="M603" s="18"/>
      <c r="N603" s="18"/>
      <c r="O603" s="98"/>
      <c r="P603" s="99"/>
    </row>
    <row r="604" spans="3:16" s="146" customFormat="1" ht="18" hidden="1" customHeight="1" x14ac:dyDescent="0.25">
      <c r="C604" s="288"/>
      <c r="D604" s="18"/>
      <c r="E604" s="18"/>
      <c r="F604" s="18"/>
      <c r="G604" s="1082" t="s">
        <v>344</v>
      </c>
      <c r="H604" s="1083"/>
      <c r="I604" s="1083"/>
      <c r="J604" s="1084"/>
      <c r="K604" s="1075">
        <f>K603+O599</f>
        <v>14</v>
      </c>
      <c r="L604" s="1076"/>
      <c r="M604" s="18"/>
      <c r="N604" s="18"/>
      <c r="O604" s="98"/>
      <c r="P604" s="99"/>
    </row>
    <row r="605" spans="3:16" s="146" customFormat="1" ht="18" hidden="1" customHeight="1" x14ac:dyDescent="0.25">
      <c r="C605" s="288"/>
      <c r="D605" s="18"/>
      <c r="E605" s="18"/>
      <c r="F605" s="18"/>
      <c r="G605" s="1082" t="s">
        <v>345</v>
      </c>
      <c r="H605" s="1083"/>
      <c r="I605" s="1083"/>
      <c r="J605" s="1084"/>
      <c r="K605" s="1075">
        <f>'BM DETALHADO'!E47</f>
        <v>14</v>
      </c>
      <c r="L605" s="1076"/>
      <c r="M605" s="18"/>
      <c r="N605" s="18"/>
      <c r="O605" s="98"/>
      <c r="P605" s="99"/>
    </row>
    <row r="606" spans="3:16" s="146" customFormat="1" ht="18" hidden="1" customHeight="1" thickBot="1" x14ac:dyDescent="0.3">
      <c r="C606" s="288"/>
      <c r="D606" s="18"/>
      <c r="E606" s="18"/>
      <c r="F606" s="18"/>
      <c r="G606" s="1077" t="s">
        <v>346</v>
      </c>
      <c r="H606" s="1078"/>
      <c r="I606" s="1078"/>
      <c r="J606" s="1079"/>
      <c r="K606" s="1068">
        <f>K605-K604</f>
        <v>0</v>
      </c>
      <c r="L606" s="1069"/>
      <c r="M606" s="18"/>
      <c r="N606" s="18"/>
      <c r="O606" s="98"/>
      <c r="P606" s="99"/>
    </row>
    <row r="607" spans="3:16" s="146" customFormat="1" ht="18" hidden="1" customHeight="1" x14ac:dyDescent="0.25">
      <c r="C607" s="288"/>
      <c r="D607" s="18"/>
      <c r="E607" s="18"/>
      <c r="F607" s="18"/>
      <c r="G607" s="356"/>
      <c r="H607" s="356"/>
      <c r="I607" s="356"/>
      <c r="J607" s="356"/>
      <c r="K607" s="357"/>
      <c r="L607" s="357"/>
      <c r="M607" s="18"/>
      <c r="N607" s="18"/>
      <c r="O607" s="98"/>
      <c r="P607" s="99"/>
    </row>
    <row r="608" spans="3:16" s="146" customFormat="1" ht="9.9499999999999993" hidden="1" customHeight="1" thickBot="1" x14ac:dyDescent="0.3">
      <c r="C608" s="21"/>
      <c r="D608" s="22"/>
      <c r="E608" s="22"/>
      <c r="F608" s="22"/>
      <c r="G608" s="360"/>
      <c r="H608" s="360"/>
      <c r="I608" s="360"/>
      <c r="J608" s="360"/>
      <c r="K608" s="361"/>
      <c r="L608" s="361"/>
      <c r="M608" s="22"/>
      <c r="N608" s="22"/>
      <c r="O608" s="100"/>
      <c r="P608" s="101"/>
    </row>
    <row r="609" spans="3:16" s="146" customFormat="1" ht="18" hidden="1" customHeight="1" x14ac:dyDescent="0.25">
      <c r="C609" s="20" t="s">
        <v>34</v>
      </c>
      <c r="D609" s="1052" t="s">
        <v>35</v>
      </c>
      <c r="E609" s="1053"/>
      <c r="F609" s="1053"/>
      <c r="G609" s="1053"/>
      <c r="H609" s="1053"/>
      <c r="I609" s="1053"/>
      <c r="J609" s="1053"/>
      <c r="K609" s="1053"/>
      <c r="L609" s="1053"/>
      <c r="M609" s="1054"/>
      <c r="N609" s="278" t="s">
        <v>0</v>
      </c>
      <c r="O609" s="1107" t="s">
        <v>4</v>
      </c>
      <c r="P609" s="1108"/>
    </row>
    <row r="610" spans="3:16" s="146" customFormat="1" ht="69.95" hidden="1" customHeight="1" thickBot="1" x14ac:dyDescent="0.3">
      <c r="C610" s="261" t="s">
        <v>313</v>
      </c>
      <c r="D610" s="1129" t="str">
        <f>'BM DETALHADO'!C48</f>
        <v>BARRACÃO DE OBRA PARA INSTALAÇÃO SANITÁRIA TIPO-I, ÁREA INTERNA 14,52M2, EM CHAPA DE COMPENSADO RESINADO (OBRA DE PEQUENO PORTE, EFETIVO ATÉ 30 HOMENS), PADRÃO DEER-MG</v>
      </c>
      <c r="E610" s="1130"/>
      <c r="F610" s="1130"/>
      <c r="G610" s="1130"/>
      <c r="H610" s="1130"/>
      <c r="I610" s="1130"/>
      <c r="J610" s="1130"/>
      <c r="K610" s="1130"/>
      <c r="L610" s="1130"/>
      <c r="M610" s="1131"/>
      <c r="N610" s="262" t="str">
        <f>'BM DETALHADO'!D48</f>
        <v xml:space="preserve">UN </v>
      </c>
      <c r="O610" s="1218"/>
      <c r="P610" s="1219"/>
    </row>
    <row r="611" spans="3:16" s="146" customFormat="1" ht="9.9499999999999993" hidden="1" customHeight="1" x14ac:dyDescent="0.25">
      <c r="C611" s="288"/>
      <c r="D611" s="18"/>
      <c r="E611" s="18"/>
      <c r="F611" s="18"/>
      <c r="G611" s="289"/>
      <c r="H611" s="289"/>
      <c r="I611" s="289"/>
      <c r="J611" s="289"/>
      <c r="K611" s="290"/>
      <c r="L611" s="290"/>
      <c r="M611" s="18"/>
      <c r="N611" s="18"/>
      <c r="O611" s="98"/>
      <c r="P611" s="99"/>
    </row>
    <row r="612" spans="3:16" s="146" customFormat="1" ht="18" hidden="1" customHeight="1" x14ac:dyDescent="0.25">
      <c r="C612" s="288"/>
      <c r="D612" s="370"/>
      <c r="E612" s="370"/>
      <c r="F612" s="370"/>
      <c r="G612" s="370"/>
      <c r="H612" s="178"/>
      <c r="I612" s="319"/>
      <c r="J612" s="277"/>
      <c r="K612" s="357"/>
      <c r="L612" s="357"/>
      <c r="M612" s="18"/>
      <c r="N612" s="18"/>
      <c r="O612" s="98"/>
      <c r="P612" s="99"/>
    </row>
    <row r="613" spans="3:16" s="146" customFormat="1" ht="18" hidden="1" customHeight="1" x14ac:dyDescent="0.25">
      <c r="C613" s="288"/>
      <c r="D613" s="18"/>
      <c r="E613" s="18"/>
      <c r="F613" s="18"/>
      <c r="G613" s="356"/>
      <c r="H613" s="356"/>
      <c r="I613" s="356"/>
      <c r="J613" s="356"/>
      <c r="K613" s="357"/>
      <c r="L613" s="357"/>
      <c r="M613" s="18"/>
      <c r="N613" s="18"/>
      <c r="O613" s="98"/>
      <c r="P613" s="99"/>
    </row>
    <row r="614" spans="3:16" s="146" customFormat="1" ht="18" hidden="1" customHeight="1" x14ac:dyDescent="0.25">
      <c r="C614" s="288"/>
      <c r="D614" s="18"/>
      <c r="E614" s="18"/>
      <c r="F614" s="18"/>
      <c r="G614" s="356"/>
      <c r="H614" s="356"/>
      <c r="I614" s="356"/>
      <c r="J614" s="356"/>
      <c r="K614" s="357"/>
      <c r="L614" s="357"/>
      <c r="M614" s="18"/>
      <c r="N614" s="18"/>
      <c r="O614" s="98"/>
      <c r="P614" s="99"/>
    </row>
    <row r="615" spans="3:16" s="146" customFormat="1" ht="18" hidden="1" customHeight="1" x14ac:dyDescent="0.25">
      <c r="C615" s="288"/>
      <c r="D615" s="18"/>
      <c r="E615" s="18"/>
      <c r="F615" s="18"/>
      <c r="G615" s="356"/>
      <c r="H615" s="356"/>
      <c r="I615" s="356"/>
      <c r="J615" s="356"/>
      <c r="K615" s="357"/>
      <c r="L615" s="357"/>
      <c r="M615" s="18"/>
      <c r="N615" s="18"/>
      <c r="O615" s="98"/>
      <c r="P615" s="99"/>
    </row>
    <row r="616" spans="3:16" s="146" customFormat="1" ht="18" hidden="1" customHeight="1" x14ac:dyDescent="0.25">
      <c r="C616" s="288"/>
      <c r="D616" s="18"/>
      <c r="E616" s="18"/>
      <c r="F616" s="18"/>
      <c r="G616" s="356"/>
      <c r="H616" s="356"/>
      <c r="I616" s="356"/>
      <c r="J616" s="356"/>
      <c r="K616" s="357"/>
      <c r="L616" s="357"/>
      <c r="M616" s="18"/>
      <c r="N616" s="18"/>
      <c r="O616" s="98"/>
      <c r="P616" s="99"/>
    </row>
    <row r="617" spans="3:16" s="146" customFormat="1" ht="18" hidden="1" customHeight="1" x14ac:dyDescent="0.25">
      <c r="C617" s="288"/>
      <c r="D617" s="18"/>
      <c r="E617" s="18"/>
      <c r="F617" s="18"/>
      <c r="G617" s="356"/>
      <c r="H617" s="356"/>
      <c r="I617" s="356"/>
      <c r="J617" s="356"/>
      <c r="K617" s="357"/>
      <c r="L617" s="357"/>
      <c r="M617" s="18"/>
      <c r="N617" s="18"/>
      <c r="O617" s="98"/>
      <c r="P617" s="99"/>
    </row>
    <row r="618" spans="3:16" s="146" customFormat="1" ht="18" hidden="1" customHeight="1" x14ac:dyDescent="0.25">
      <c r="C618" s="288"/>
      <c r="D618" s="18"/>
      <c r="E618" s="18"/>
      <c r="F618" s="18"/>
      <c r="G618" s="356"/>
      <c r="H618" s="356"/>
      <c r="I618" s="356"/>
      <c r="J618" s="356"/>
      <c r="K618" s="357"/>
      <c r="L618" s="357"/>
      <c r="M618" s="18"/>
      <c r="N618" s="18"/>
      <c r="O618" s="98"/>
      <c r="P618" s="99"/>
    </row>
    <row r="619" spans="3:16" s="146" customFormat="1" ht="18" hidden="1" customHeight="1" x14ac:dyDescent="0.25">
      <c r="C619" s="288"/>
      <c r="D619" s="18"/>
      <c r="E619" s="18"/>
      <c r="F619" s="18"/>
      <c r="G619" s="356"/>
      <c r="H619" s="356"/>
      <c r="I619" s="356"/>
      <c r="J619" s="356"/>
      <c r="K619" s="357"/>
      <c r="L619" s="357"/>
      <c r="M619" s="18"/>
      <c r="N619" s="18"/>
      <c r="O619" s="98"/>
      <c r="P619" s="99"/>
    </row>
    <row r="620" spans="3:16" s="146" customFormat="1" ht="18" hidden="1" customHeight="1" thickBot="1" x14ac:dyDescent="0.3">
      <c r="C620" s="288"/>
      <c r="D620" s="18"/>
      <c r="E620" s="18"/>
      <c r="F620" s="18"/>
      <c r="G620" s="356"/>
      <c r="H620" s="356"/>
      <c r="I620" s="356"/>
      <c r="J620" s="356"/>
      <c r="K620" s="357"/>
      <c r="L620" s="357"/>
      <c r="M620" s="18"/>
      <c r="N620" s="18"/>
      <c r="O620" s="98"/>
      <c r="P620" s="99"/>
    </row>
    <row r="621" spans="3:16" s="146" customFormat="1" ht="18" hidden="1" customHeight="1" x14ac:dyDescent="0.25">
      <c r="C621" s="288"/>
      <c r="D621" s="18"/>
      <c r="E621" s="18"/>
      <c r="F621" s="18"/>
      <c r="G621" s="1041" t="s">
        <v>343</v>
      </c>
      <c r="H621" s="1042"/>
      <c r="I621" s="1042"/>
      <c r="J621" s="1043"/>
      <c r="K621" s="1085">
        <f>'BM DETALHADO'!J48</f>
        <v>1</v>
      </c>
      <c r="L621" s="1086"/>
      <c r="M621" s="18"/>
      <c r="N621" s="18"/>
      <c r="O621" s="98"/>
      <c r="P621" s="99"/>
    </row>
    <row r="622" spans="3:16" s="146" customFormat="1" ht="18" hidden="1" customHeight="1" x14ac:dyDescent="0.25">
      <c r="C622" s="288"/>
      <c r="D622" s="18"/>
      <c r="E622" s="18"/>
      <c r="F622" s="18"/>
      <c r="G622" s="1082" t="s">
        <v>344</v>
      </c>
      <c r="H622" s="1083"/>
      <c r="I622" s="1083"/>
      <c r="J622" s="1084"/>
      <c r="K622" s="1075">
        <f>K621+O617</f>
        <v>1</v>
      </c>
      <c r="L622" s="1076"/>
      <c r="M622" s="18"/>
      <c r="N622" s="18"/>
      <c r="O622" s="98"/>
      <c r="P622" s="99"/>
    </row>
    <row r="623" spans="3:16" s="146" customFormat="1" ht="18" hidden="1" customHeight="1" x14ac:dyDescent="0.25">
      <c r="C623" s="288"/>
      <c r="D623" s="18"/>
      <c r="E623" s="18"/>
      <c r="F623" s="18"/>
      <c r="G623" s="1082" t="s">
        <v>345</v>
      </c>
      <c r="H623" s="1083"/>
      <c r="I623" s="1083"/>
      <c r="J623" s="1084"/>
      <c r="K623" s="1075">
        <f>'BM DETALHADO'!E48</f>
        <v>1</v>
      </c>
      <c r="L623" s="1076"/>
      <c r="M623" s="18"/>
      <c r="N623" s="18"/>
      <c r="O623" s="98"/>
      <c r="P623" s="99"/>
    </row>
    <row r="624" spans="3:16" s="146" customFormat="1" ht="18" hidden="1" customHeight="1" thickBot="1" x14ac:dyDescent="0.3">
      <c r="C624" s="288"/>
      <c r="D624" s="18"/>
      <c r="E624" s="18"/>
      <c r="F624" s="18"/>
      <c r="G624" s="1077" t="s">
        <v>346</v>
      </c>
      <c r="H624" s="1078"/>
      <c r="I624" s="1078"/>
      <c r="J624" s="1079"/>
      <c r="K624" s="1068">
        <f>K623-K622</f>
        <v>0</v>
      </c>
      <c r="L624" s="1069"/>
      <c r="M624" s="18"/>
      <c r="N624" s="18"/>
      <c r="O624" s="98"/>
      <c r="P624" s="99"/>
    </row>
    <row r="625" spans="3:16" s="146" customFormat="1" ht="9.9499999999999993" hidden="1" customHeight="1" thickBot="1" x14ac:dyDescent="0.3">
      <c r="C625" s="288"/>
      <c r="D625" s="18"/>
      <c r="E625" s="18"/>
      <c r="F625" s="18"/>
      <c r="G625" s="356"/>
      <c r="H625" s="356"/>
      <c r="I625" s="356"/>
      <c r="J625" s="356"/>
      <c r="K625" s="357"/>
      <c r="L625" s="357"/>
      <c r="M625" s="18"/>
      <c r="N625" s="18"/>
      <c r="O625" s="98"/>
      <c r="P625" s="99"/>
    </row>
    <row r="626" spans="3:16" s="146" customFormat="1" ht="18" hidden="1" customHeight="1" x14ac:dyDescent="0.25">
      <c r="C626" s="20" t="s">
        <v>34</v>
      </c>
      <c r="D626" s="1052" t="s">
        <v>35</v>
      </c>
      <c r="E626" s="1053"/>
      <c r="F626" s="1053"/>
      <c r="G626" s="1053"/>
      <c r="H626" s="1053"/>
      <c r="I626" s="1053"/>
      <c r="J626" s="1053"/>
      <c r="K626" s="1053"/>
      <c r="L626" s="1053"/>
      <c r="M626" s="1054"/>
      <c r="N626" s="145" t="s">
        <v>0</v>
      </c>
      <c r="O626" s="1107" t="s">
        <v>4</v>
      </c>
      <c r="P626" s="1108"/>
    </row>
    <row r="627" spans="3:16" s="146" customFormat="1" ht="69.95" hidden="1" customHeight="1" thickBot="1" x14ac:dyDescent="0.3">
      <c r="C627" s="85" t="s">
        <v>16</v>
      </c>
      <c r="D627" s="1070" t="str">
        <f>VLOOKUP(C627,'BM DETALHADO'!$B$13:$D$126,2,FALSE)</f>
        <v>DEMOLIÇÃO DE PISO CIMENTADO OU CONTRAPISO DE ARGAMASSA ESPESSURA MÁXIMA DE 10CM, INCLUSIVE AFASTAMENTO</v>
      </c>
      <c r="E627" s="1071"/>
      <c r="F627" s="1071"/>
      <c r="G627" s="1071"/>
      <c r="H627" s="1071"/>
      <c r="I627" s="1071"/>
      <c r="J627" s="1071"/>
      <c r="K627" s="1071"/>
      <c r="L627" s="1071"/>
      <c r="M627" s="1072"/>
      <c r="N627" s="19" t="str">
        <f>VLOOKUP(C627,'BM DETALHADO'!$B$13:$D$126,3,FALSE)</f>
        <v>m3</v>
      </c>
      <c r="O627" s="1109"/>
      <c r="P627" s="1110"/>
    </row>
    <row r="628" spans="3:16" s="146" customFormat="1" ht="9.9499999999999993" hidden="1" customHeight="1" x14ac:dyDescent="0.25">
      <c r="C628" s="77"/>
      <c r="D628" s="78"/>
      <c r="E628" s="79"/>
      <c r="F628" s="79"/>
      <c r="G628" s="79"/>
      <c r="H628" s="79"/>
      <c r="I628" s="79"/>
      <c r="J628" s="79"/>
      <c r="K628" s="79"/>
      <c r="L628" s="79"/>
      <c r="M628" s="79"/>
      <c r="N628" s="79"/>
      <c r="O628" s="91"/>
      <c r="P628" s="92"/>
    </row>
    <row r="629" spans="3:16" s="146" customFormat="1" ht="18" hidden="1" customHeight="1" x14ac:dyDescent="0.25">
      <c r="C629" s="336"/>
      <c r="D629" s="219"/>
      <c r="E629" s="219"/>
      <c r="F629" s="219"/>
      <c r="G629" s="219"/>
      <c r="H629" s="81"/>
      <c r="I629" s="81"/>
      <c r="J629" s="81"/>
      <c r="K629" s="81"/>
      <c r="L629" s="799"/>
      <c r="M629" s="169"/>
      <c r="N629" s="169"/>
      <c r="O629" s="797"/>
      <c r="P629" s="93"/>
    </row>
    <row r="630" spans="3:16" s="146" customFormat="1" ht="18" hidden="1" customHeight="1" x14ac:dyDescent="0.25">
      <c r="C630" s="336"/>
      <c r="D630" s="802"/>
      <c r="E630" s="802"/>
      <c r="F630" s="802"/>
      <c r="G630" s="802"/>
      <c r="H630" s="801"/>
      <c r="I630" s="795"/>
      <c r="J630" s="795"/>
      <c r="K630" s="795"/>
      <c r="L630" s="795"/>
      <c r="M630" s="795"/>
      <c r="N630" s="795"/>
      <c r="O630" s="94"/>
      <c r="P630" s="93"/>
    </row>
    <row r="631" spans="3:16" s="146" customFormat="1" ht="18" hidden="1" customHeight="1" x14ac:dyDescent="0.25">
      <c r="C631" s="202"/>
      <c r="D631" s="537"/>
      <c r="E631" s="192"/>
      <c r="F631" s="500"/>
      <c r="G631" s="500"/>
      <c r="H631" s="81"/>
      <c r="I631" s="167"/>
      <c r="J631" s="168"/>
      <c r="K631" s="167"/>
      <c r="L631" s="168"/>
      <c r="M631" s="169"/>
      <c r="N631" s="169"/>
      <c r="O631" s="169"/>
      <c r="P631" s="93"/>
    </row>
    <row r="632" spans="3:16" s="146" customFormat="1" ht="18" hidden="1" customHeight="1" x14ac:dyDescent="0.25">
      <c r="C632" s="202"/>
      <c r="D632" s="537"/>
      <c r="E632" s="192"/>
      <c r="F632" s="500"/>
      <c r="G632" s="500"/>
      <c r="H632" s="81"/>
      <c r="I632" s="167"/>
      <c r="J632" s="168"/>
      <c r="K632" s="167"/>
      <c r="L632" s="168"/>
      <c r="M632" s="169"/>
      <c r="N632" s="169"/>
      <c r="O632" s="169"/>
      <c r="P632" s="93"/>
    </row>
    <row r="633" spans="3:16" s="146" customFormat="1" ht="18" hidden="1" customHeight="1" x14ac:dyDescent="0.25">
      <c r="C633" s="202"/>
      <c r="D633" s="537"/>
      <c r="E633" s="192"/>
      <c r="F633" s="500"/>
      <c r="G633" s="500"/>
      <c r="H633" s="182"/>
      <c r="I633" s="167"/>
      <c r="J633" s="168"/>
      <c r="K633" s="167"/>
      <c r="L633" s="168"/>
      <c r="M633" s="169"/>
      <c r="N633" s="169"/>
      <c r="O633" s="169"/>
      <c r="P633" s="93"/>
    </row>
    <row r="634" spans="3:16" s="146" customFormat="1" ht="18" hidden="1" customHeight="1" x14ac:dyDescent="0.25">
      <c r="C634" s="202"/>
      <c r="D634" s="794"/>
      <c r="E634" s="192"/>
      <c r="F634" s="500"/>
      <c r="G634" s="500"/>
      <c r="H634" s="81"/>
      <c r="I634" s="167"/>
      <c r="J634" s="168"/>
      <c r="K634" s="167"/>
      <c r="L634" s="168"/>
      <c r="M634" s="169"/>
      <c r="N634" s="169"/>
      <c r="O634" s="169"/>
      <c r="P634" s="93"/>
    </row>
    <row r="635" spans="3:16" s="146" customFormat="1" ht="18" hidden="1" customHeight="1" x14ac:dyDescent="0.25">
      <c r="C635" s="202"/>
      <c r="D635" s="794"/>
      <c r="E635" s="192"/>
      <c r="F635" s="500"/>
      <c r="G635" s="500"/>
      <c r="H635" s="81"/>
      <c r="I635" s="167"/>
      <c r="J635" s="168"/>
      <c r="K635" s="167"/>
      <c r="L635" s="168"/>
      <c r="M635" s="169"/>
      <c r="N635" s="169"/>
      <c r="O635" s="169"/>
      <c r="P635" s="93"/>
    </row>
    <row r="636" spans="3:16" s="146" customFormat="1" ht="18" hidden="1" customHeight="1" x14ac:dyDescent="0.25">
      <c r="C636" s="80"/>
      <c r="D636" s="794"/>
      <c r="E636" s="192"/>
      <c r="F636" s="192"/>
      <c r="G636" s="500"/>
      <c r="H636" s="795"/>
      <c r="I636" s="795"/>
      <c r="J636" s="795"/>
      <c r="K636" s="795"/>
      <c r="L636" s="795"/>
      <c r="M636" s="795"/>
      <c r="N636" s="795"/>
      <c r="O636" s="94"/>
      <c r="P636" s="93"/>
    </row>
    <row r="637" spans="3:16" s="146" customFormat="1" ht="18" hidden="1" customHeight="1" x14ac:dyDescent="0.25">
      <c r="C637" s="80"/>
      <c r="D637" s="180"/>
      <c r="E637" s="180"/>
      <c r="F637" s="180"/>
      <c r="G637" s="372"/>
      <c r="H637" s="180"/>
      <c r="I637" s="180"/>
      <c r="J637" s="180"/>
      <c r="K637" s="180"/>
      <c r="L637" s="796"/>
      <c r="M637" s="181"/>
      <c r="N637" s="182"/>
      <c r="O637" s="95"/>
      <c r="P637" s="93"/>
    </row>
    <row r="638" spans="3:16" s="588" customFormat="1" ht="18" hidden="1" customHeight="1" x14ac:dyDescent="0.25">
      <c r="C638" s="80"/>
      <c r="D638" s="793"/>
      <c r="E638" s="793"/>
      <c r="F638" s="793"/>
      <c r="G638" s="372"/>
      <c r="H638" s="180"/>
      <c r="I638" s="180"/>
      <c r="J638" s="180"/>
      <c r="K638" s="180"/>
      <c r="L638" s="796"/>
      <c r="M638" s="181"/>
      <c r="N638" s="182"/>
      <c r="O638" s="95"/>
      <c r="P638" s="93"/>
    </row>
    <row r="639" spans="3:16" s="146" customFormat="1" ht="18" hidden="1" customHeight="1" x14ac:dyDescent="0.25">
      <c r="C639" s="80"/>
      <c r="D639" s="800"/>
      <c r="E639" s="800"/>
      <c r="F639" s="800"/>
      <c r="G639" s="800"/>
      <c r="H639" s="800"/>
      <c r="I639" s="800"/>
      <c r="J639" s="800"/>
      <c r="K639" s="800"/>
      <c r="L639" s="796"/>
      <c r="M639" s="798"/>
      <c r="N639" s="796"/>
      <c r="O639" s="95"/>
      <c r="P639" s="93"/>
    </row>
    <row r="640" spans="3:16" s="146" customFormat="1" ht="9.9499999999999993" hidden="1" customHeight="1" thickBot="1" x14ac:dyDescent="0.3">
      <c r="C640" s="80"/>
      <c r="D640" s="81"/>
      <c r="E640" s="81"/>
      <c r="F640" s="81"/>
      <c r="G640" s="81"/>
      <c r="H640" s="81"/>
      <c r="I640" s="81"/>
      <c r="J640" s="81"/>
      <c r="K640" s="81"/>
      <c r="L640" s="81"/>
      <c r="M640" s="81"/>
      <c r="N640" s="81"/>
      <c r="O640" s="96"/>
      <c r="P640" s="97"/>
    </row>
    <row r="641" spans="2:16" s="146" customFormat="1" ht="18" hidden="1" customHeight="1" x14ac:dyDescent="0.25">
      <c r="B641" s="31" t="s">
        <v>34</v>
      </c>
      <c r="C641" s="29"/>
      <c r="E641" s="30"/>
      <c r="F641" s="30"/>
      <c r="G641" s="1041" t="s">
        <v>343</v>
      </c>
      <c r="H641" s="1042"/>
      <c r="I641" s="1042"/>
      <c r="J641" s="1043"/>
      <c r="K641" s="1085">
        <f>'[25]MEMÓRIA DE CÁLCULO'!$K$687</f>
        <v>6.6488800000000001</v>
      </c>
      <c r="L641" s="1086"/>
      <c r="M641" s="18"/>
      <c r="N641" s="18"/>
      <c r="O641" s="98"/>
      <c r="P641" s="99"/>
    </row>
    <row r="642" spans="2:16" s="146" customFormat="1" ht="18" hidden="1" customHeight="1" x14ac:dyDescent="0.25">
      <c r="B642" s="31" t="str">
        <f>C627</f>
        <v>2.1</v>
      </c>
      <c r="C642" s="29"/>
      <c r="E642" s="30"/>
      <c r="F642" s="30"/>
      <c r="G642" s="1082" t="s">
        <v>344</v>
      </c>
      <c r="H642" s="1083"/>
      <c r="I642" s="1083"/>
      <c r="J642" s="1084"/>
      <c r="K642" s="1075">
        <f>K641+O627</f>
        <v>6.6488800000000001</v>
      </c>
      <c r="L642" s="1076"/>
      <c r="M642" s="18"/>
      <c r="N642" s="18"/>
      <c r="O642" s="98"/>
      <c r="P642" s="99"/>
    </row>
    <row r="643" spans="2:16" s="146" customFormat="1" ht="18" hidden="1" customHeight="1" x14ac:dyDescent="0.25">
      <c r="B643" s="232"/>
      <c r="C643" s="29"/>
      <c r="E643" s="30"/>
      <c r="F643" s="30"/>
      <c r="G643" s="1082" t="s">
        <v>345</v>
      </c>
      <c r="H643" s="1083"/>
      <c r="I643" s="1083"/>
      <c r="J643" s="1084"/>
      <c r="K643" s="1075">
        <f>VLOOKUP(C627,'[26]BM DETALHADO'!$B$13:$E$126,4,FALSE)</f>
        <v>20</v>
      </c>
      <c r="L643" s="1076"/>
      <c r="M643" s="18"/>
      <c r="N643" s="18"/>
      <c r="O643" s="98"/>
      <c r="P643" s="99"/>
    </row>
    <row r="644" spans="2:16" s="146" customFormat="1" ht="18" hidden="1" customHeight="1" thickBot="1" x14ac:dyDescent="0.3">
      <c r="C644" s="29"/>
      <c r="D644" s="30"/>
      <c r="E644" s="30"/>
      <c r="F644" s="30"/>
      <c r="G644" s="1077" t="s">
        <v>346</v>
      </c>
      <c r="H644" s="1078"/>
      <c r="I644" s="1078"/>
      <c r="J644" s="1079"/>
      <c r="K644" s="1068">
        <f>K643-K642</f>
        <v>13.35112</v>
      </c>
      <c r="L644" s="1069"/>
      <c r="M644" s="18"/>
      <c r="N644" s="18"/>
      <c r="O644" s="98"/>
      <c r="P644" s="99"/>
    </row>
    <row r="645" spans="2:16" s="146" customFormat="1" ht="18" hidden="1" customHeight="1" x14ac:dyDescent="0.25">
      <c r="C645" s="29"/>
      <c r="D645" s="30"/>
      <c r="E645" s="30"/>
      <c r="F645" s="30"/>
      <c r="G645" s="363"/>
      <c r="H645" s="363"/>
      <c r="I645" s="363"/>
      <c r="J645" s="363"/>
      <c r="K645" s="364"/>
      <c r="L645" s="364"/>
      <c r="M645" s="18"/>
      <c r="N645" s="18"/>
      <c r="O645" s="98"/>
      <c r="P645" s="99"/>
    </row>
    <row r="646" spans="2:16" s="146" customFormat="1" ht="9.9499999999999993" hidden="1" customHeight="1" thickBot="1" x14ac:dyDescent="0.3">
      <c r="C646" s="21"/>
      <c r="D646" s="22"/>
      <c r="E646" s="22"/>
      <c r="F646" s="22"/>
      <c r="G646" s="360"/>
      <c r="H646" s="360"/>
      <c r="I646" s="360"/>
      <c r="J646" s="360"/>
      <c r="K646" s="361"/>
      <c r="L646" s="361"/>
      <c r="M646" s="22"/>
      <c r="N646" s="22"/>
      <c r="O646" s="100"/>
      <c r="P646" s="101"/>
    </row>
    <row r="647" spans="2:16" s="146" customFormat="1" ht="18" hidden="1" customHeight="1" x14ac:dyDescent="0.25">
      <c r="C647" s="20" t="s">
        <v>34</v>
      </c>
      <c r="D647" s="1052" t="s">
        <v>35</v>
      </c>
      <c r="E647" s="1053"/>
      <c r="F647" s="1053"/>
      <c r="G647" s="1053"/>
      <c r="H647" s="1053"/>
      <c r="I647" s="1053"/>
      <c r="J647" s="1053"/>
      <c r="K647" s="1053"/>
      <c r="L647" s="1053"/>
      <c r="M647" s="1054"/>
      <c r="N647" s="145" t="s">
        <v>0</v>
      </c>
      <c r="O647" s="1107" t="s">
        <v>4</v>
      </c>
      <c r="P647" s="1108"/>
    </row>
    <row r="648" spans="2:16" s="146" customFormat="1" ht="69.95" hidden="1" customHeight="1" thickBot="1" x14ac:dyDescent="0.3">
      <c r="C648" s="261" t="s">
        <v>145</v>
      </c>
      <c r="D648" s="1129" t="str">
        <f>VLOOKUP(C648,'BM DETALHADO'!$B$13:$D$126,2,FALSE)</f>
        <v>REMOÇÃO CUIDADOSA DE REVESTIMENTO SOBRE PAREDE DE ADOBE, PAU A PIQUE E TIJOLO DE BARRO COZIDO</v>
      </c>
      <c r="E648" s="1130"/>
      <c r="F648" s="1130"/>
      <c r="G648" s="1130"/>
      <c r="H648" s="1130"/>
      <c r="I648" s="1130"/>
      <c r="J648" s="1130"/>
      <c r="K648" s="1130"/>
      <c r="L648" s="1130"/>
      <c r="M648" s="1131"/>
      <c r="N648" s="262" t="str">
        <f>VLOOKUP(C648,'BM DETALHADO'!$B$13:$D$126,3,FALSE)</f>
        <v>m2</v>
      </c>
      <c r="O648" s="1218"/>
      <c r="P648" s="1219"/>
    </row>
    <row r="649" spans="2:16" s="146" customFormat="1" ht="15.95" hidden="1" customHeight="1" thickBot="1" x14ac:dyDescent="0.3">
      <c r="C649" s="352"/>
      <c r="D649" s="695"/>
      <c r="E649" s="695"/>
      <c r="F649" s="695"/>
      <c r="G649" s="695"/>
      <c r="H649" s="276"/>
      <c r="I649" s="1370"/>
      <c r="J649" s="1370"/>
      <c r="K649" s="273"/>
      <c r="L649" s="273"/>
      <c r="M649" s="273"/>
      <c r="N649" s="428"/>
      <c r="O649" s="429"/>
      <c r="P649" s="264"/>
    </row>
    <row r="650" spans="2:16" s="146" customFormat="1" ht="18" hidden="1" customHeight="1" x14ac:dyDescent="0.25">
      <c r="B650" s="31" t="s">
        <v>34</v>
      </c>
      <c r="C650" s="29"/>
      <c r="E650" s="30"/>
      <c r="F650" s="30"/>
      <c r="G650" s="1041" t="s">
        <v>343</v>
      </c>
      <c r="H650" s="1042"/>
      <c r="I650" s="1042"/>
      <c r="J650" s="1043"/>
      <c r="K650" s="1085">
        <f>'[25]MEMÓRIA DE CÁLCULO'!$K$708</f>
        <v>240</v>
      </c>
      <c r="L650" s="1086"/>
      <c r="M650" s="1215" t="s">
        <v>410</v>
      </c>
      <c r="N650" s="1215"/>
      <c r="O650" s="1215"/>
      <c r="P650" s="1216"/>
    </row>
    <row r="651" spans="2:16" s="146" customFormat="1" ht="18" hidden="1" customHeight="1" x14ac:dyDescent="0.25">
      <c r="B651" s="31" t="str">
        <f>C648</f>
        <v>2.2</v>
      </c>
      <c r="C651" s="29"/>
      <c r="E651" s="30"/>
      <c r="F651" s="30"/>
      <c r="G651" s="1082" t="s">
        <v>344</v>
      </c>
      <c r="H651" s="1083"/>
      <c r="I651" s="1083"/>
      <c r="J651" s="1084"/>
      <c r="K651" s="1075">
        <f>K650+O648</f>
        <v>240</v>
      </c>
      <c r="L651" s="1076"/>
      <c r="M651" s="1215"/>
      <c r="N651" s="1215"/>
      <c r="O651" s="1215"/>
      <c r="P651" s="1216"/>
    </row>
    <row r="652" spans="2:16" s="146" customFormat="1" ht="18" hidden="1" customHeight="1" x14ac:dyDescent="0.25">
      <c r="B652" s="232"/>
      <c r="C652" s="29"/>
      <c r="E652" s="30"/>
      <c r="F652" s="30"/>
      <c r="G652" s="1082" t="s">
        <v>345</v>
      </c>
      <c r="H652" s="1083"/>
      <c r="I652" s="1083"/>
      <c r="J652" s="1084"/>
      <c r="K652" s="1075">
        <f>VLOOKUP(C648,'[26]BM DETALHADO'!$B$13:$E$126,4,FALSE)</f>
        <v>240</v>
      </c>
      <c r="L652" s="1076"/>
      <c r="M652" s="1215"/>
      <c r="N652" s="1215"/>
      <c r="O652" s="1215"/>
      <c r="P652" s="1216"/>
    </row>
    <row r="653" spans="2:16" s="146" customFormat="1" ht="18" hidden="1" customHeight="1" thickBot="1" x14ac:dyDescent="0.3">
      <c r="C653" s="29"/>
      <c r="D653" s="30"/>
      <c r="E653" s="30"/>
      <c r="F653" s="30"/>
      <c r="G653" s="1077" t="s">
        <v>346</v>
      </c>
      <c r="H653" s="1078"/>
      <c r="I653" s="1078"/>
      <c r="J653" s="1079"/>
      <c r="K653" s="1068">
        <f>K652-K651</f>
        <v>0</v>
      </c>
      <c r="L653" s="1069"/>
      <c r="M653" s="1215"/>
      <c r="N653" s="1215"/>
      <c r="O653" s="1215"/>
      <c r="P653" s="1216"/>
    </row>
    <row r="654" spans="2:16" s="146" customFormat="1" ht="18" hidden="1" customHeight="1" x14ac:dyDescent="0.25">
      <c r="C654" s="29"/>
      <c r="D654" s="30"/>
      <c r="E654" s="30"/>
      <c r="F654" s="30"/>
      <c r="G654" s="363"/>
      <c r="H654" s="363"/>
      <c r="I654" s="363"/>
      <c r="J654" s="363"/>
      <c r="K654" s="364"/>
      <c r="L654" s="364"/>
      <c r="M654" s="1215"/>
      <c r="N654" s="1215"/>
      <c r="O654" s="1215"/>
      <c r="P654" s="1216"/>
    </row>
    <row r="655" spans="2:16" s="146" customFormat="1" ht="9.9499999999999993" hidden="1" customHeight="1" thickBot="1" x14ac:dyDescent="0.3">
      <c r="C655" s="21"/>
      <c r="D655" s="22"/>
      <c r="E655" s="22"/>
      <c r="F655" s="22"/>
      <c r="G655" s="360"/>
      <c r="H655" s="360"/>
      <c r="I655" s="360"/>
      <c r="J655" s="360"/>
      <c r="K655" s="361"/>
      <c r="L655" s="361"/>
      <c r="M655" s="22"/>
      <c r="N655" s="22"/>
      <c r="O655" s="100"/>
      <c r="P655" s="101"/>
    </row>
    <row r="656" spans="2:16" s="146" customFormat="1" ht="18" hidden="1" customHeight="1" x14ac:dyDescent="0.25">
      <c r="C656" s="20" t="s">
        <v>34</v>
      </c>
      <c r="D656" s="1052" t="s">
        <v>35</v>
      </c>
      <c r="E656" s="1053"/>
      <c r="F656" s="1053"/>
      <c r="G656" s="1053"/>
      <c r="H656" s="1053"/>
      <c r="I656" s="1053"/>
      <c r="J656" s="1053"/>
      <c r="K656" s="1053"/>
      <c r="L656" s="1053"/>
      <c r="M656" s="1054"/>
      <c r="N656" s="145" t="s">
        <v>0</v>
      </c>
      <c r="O656" s="1107" t="s">
        <v>4</v>
      </c>
      <c r="P656" s="1108"/>
    </row>
    <row r="657" spans="3:16" s="146" customFormat="1" ht="69.95" hidden="1" customHeight="1" thickBot="1" x14ac:dyDescent="0.3">
      <c r="C657" s="85" t="s">
        <v>147</v>
      </c>
      <c r="D657" s="1070" t="str">
        <f>VLOOKUP(C657,'BM DETALHADO'!$B$13:$D$126,2,FALSE)</f>
        <v>CARGA MANUAL SOBRE CAMINHOES</v>
      </c>
      <c r="E657" s="1071"/>
      <c r="F657" s="1071"/>
      <c r="G657" s="1071"/>
      <c r="H657" s="1071"/>
      <c r="I657" s="1071"/>
      <c r="J657" s="1071"/>
      <c r="K657" s="1071"/>
      <c r="L657" s="1071"/>
      <c r="M657" s="1072"/>
      <c r="N657" s="19" t="str">
        <f>VLOOKUP(C657,'BM DETALHADO'!$B$13:$D$126,3,FALSE)</f>
        <v>M3</v>
      </c>
      <c r="O657" s="1109"/>
      <c r="P657" s="1110"/>
    </row>
    <row r="658" spans="3:16" s="146" customFormat="1" ht="9.9499999999999993" hidden="1" customHeight="1" x14ac:dyDescent="0.25">
      <c r="C658" s="77"/>
      <c r="D658" s="78"/>
      <c r="E658" s="79"/>
      <c r="F658" s="79"/>
      <c r="G658" s="79"/>
      <c r="H658" s="79"/>
      <c r="I658" s="79"/>
      <c r="J658" s="79"/>
      <c r="K658" s="79"/>
      <c r="L658" s="79"/>
      <c r="M658" s="79"/>
      <c r="N658" s="79"/>
      <c r="O658" s="91"/>
      <c r="P658" s="92"/>
    </row>
    <row r="659" spans="3:16" s="146" customFormat="1" ht="18" hidden="1" customHeight="1" x14ac:dyDescent="0.25">
      <c r="C659" s="147"/>
      <c r="D659" s="1113"/>
      <c r="E659" s="1113"/>
      <c r="F659" s="1113"/>
      <c r="G659" s="1113"/>
      <c r="H659" s="1113"/>
      <c r="I659" s="1113"/>
      <c r="J659" s="439"/>
      <c r="K659" s="440"/>
      <c r="L659" s="439"/>
      <c r="M659" s="380"/>
      <c r="N659" s="169"/>
      <c r="O659" s="343"/>
      <c r="P659" s="93"/>
    </row>
    <row r="660" spans="3:16" s="146" customFormat="1" ht="18" hidden="1" customHeight="1" x14ac:dyDescent="0.25">
      <c r="C660" s="147"/>
      <c r="D660" s="1113"/>
      <c r="E660" s="1113"/>
      <c r="F660" s="1113"/>
      <c r="G660" s="1113"/>
      <c r="H660" s="1113"/>
      <c r="I660" s="1113"/>
      <c r="J660" s="425"/>
      <c r="K660" s="425"/>
      <c r="L660" s="425"/>
      <c r="M660" s="426"/>
      <c r="N660" s="330"/>
      <c r="O660" s="94"/>
      <c r="P660" s="93"/>
    </row>
    <row r="661" spans="3:16" s="146" customFormat="1" ht="18" hidden="1" customHeight="1" x14ac:dyDescent="0.25">
      <c r="C661" s="1183"/>
      <c r="D661" s="1113"/>
      <c r="E661" s="1113"/>
      <c r="F661" s="1113"/>
      <c r="G661" s="1113"/>
      <c r="H661" s="1113"/>
      <c r="I661" s="1113"/>
      <c r="J661" s="439"/>
      <c r="K661" s="440"/>
      <c r="L661" s="439"/>
      <c r="M661" s="380"/>
      <c r="N661" s="169"/>
      <c r="O661" s="169"/>
      <c r="P661" s="93"/>
    </row>
    <row r="662" spans="3:16" s="146" customFormat="1" ht="18" hidden="1" customHeight="1" x14ac:dyDescent="0.25">
      <c r="C662" s="1183"/>
      <c r="D662" s="1113"/>
      <c r="E662" s="1113"/>
      <c r="F662" s="1113"/>
      <c r="G662" s="1113"/>
      <c r="H662" s="1113"/>
      <c r="I662" s="1113"/>
      <c r="J662" s="439"/>
      <c r="K662" s="440"/>
      <c r="L662" s="441"/>
      <c r="M662" s="380"/>
      <c r="N662" s="169"/>
      <c r="O662" s="169"/>
      <c r="P662" s="93"/>
    </row>
    <row r="663" spans="3:16" s="146" customFormat="1" ht="18" hidden="1" customHeight="1" x14ac:dyDescent="0.25">
      <c r="C663" s="1183"/>
      <c r="D663" s="1113"/>
      <c r="E663" s="1113"/>
      <c r="F663" s="1113"/>
      <c r="G663" s="1113"/>
      <c r="H663" s="1113"/>
      <c r="I663" s="1113"/>
      <c r="J663" s="439"/>
      <c r="K663" s="442"/>
      <c r="L663" s="441"/>
      <c r="M663" s="443"/>
      <c r="N663" s="169"/>
      <c r="O663" s="343"/>
      <c r="P663" s="93"/>
    </row>
    <row r="664" spans="3:16" s="146" customFormat="1" ht="18" hidden="1" customHeight="1" x14ac:dyDescent="0.25">
      <c r="C664" s="1183"/>
      <c r="D664" s="1220"/>
      <c r="E664" s="1220"/>
      <c r="F664" s="1220"/>
      <c r="G664" s="1220"/>
      <c r="H664" s="1220"/>
      <c r="I664" s="1220"/>
      <c r="J664" s="444"/>
      <c r="K664" s="445"/>
      <c r="L664" s="446"/>
      <c r="M664" s="380"/>
      <c r="N664" s="169"/>
      <c r="O664" s="169"/>
      <c r="P664" s="93"/>
    </row>
    <row r="665" spans="3:16" s="588" customFormat="1" ht="18" hidden="1" customHeight="1" x14ac:dyDescent="0.25">
      <c r="C665" s="594"/>
      <c r="D665" s="593"/>
      <c r="E665" s="593"/>
      <c r="F665" s="593"/>
      <c r="G665" s="593"/>
      <c r="H665" s="593"/>
      <c r="I665" s="593"/>
      <c r="J665" s="444"/>
      <c r="K665" s="445"/>
      <c r="L665" s="446"/>
      <c r="M665" s="380"/>
      <c r="N665" s="169"/>
      <c r="O665" s="169"/>
      <c r="P665" s="93"/>
    </row>
    <row r="666" spans="3:16" s="588" customFormat="1" ht="18" hidden="1" customHeight="1" x14ac:dyDescent="0.25">
      <c r="C666" s="594"/>
      <c r="D666" s="593"/>
      <c r="E666" s="593"/>
      <c r="F666" s="593"/>
      <c r="G666" s="593"/>
      <c r="H666" s="593"/>
      <c r="I666" s="593"/>
      <c r="J666" s="444"/>
      <c r="K666" s="445"/>
      <c r="L666" s="446"/>
      <c r="M666" s="380"/>
      <c r="N666" s="169"/>
      <c r="O666" s="169"/>
      <c r="P666" s="93"/>
    </row>
    <row r="667" spans="3:16" s="588" customFormat="1" ht="18" hidden="1" customHeight="1" x14ac:dyDescent="0.25">
      <c r="C667" s="594"/>
      <c r="D667" s="593"/>
      <c r="E667" s="593"/>
      <c r="F667" s="593"/>
      <c r="G667" s="593"/>
      <c r="H667" s="593"/>
      <c r="I667" s="593"/>
      <c r="J667" s="444"/>
      <c r="K667" s="445"/>
      <c r="L667" s="446"/>
      <c r="M667" s="380"/>
      <c r="N667" s="169"/>
      <c r="O667" s="169"/>
      <c r="P667" s="93"/>
    </row>
    <row r="668" spans="3:16" s="146" customFormat="1" ht="17.25" hidden="1" customHeight="1" x14ac:dyDescent="0.25">
      <c r="C668" s="80"/>
      <c r="D668" s="283"/>
      <c r="E668" s="283"/>
      <c r="F668" s="283"/>
      <c r="G668" s="283"/>
      <c r="H668" s="283"/>
      <c r="I668" s="283"/>
      <c r="J668" s="283"/>
      <c r="K668" s="283"/>
      <c r="L668" s="283"/>
      <c r="M668" s="283"/>
      <c r="N668" s="81"/>
      <c r="O668" s="96"/>
      <c r="P668" s="97"/>
    </row>
    <row r="669" spans="3:16" s="611" customFormat="1" ht="17.25" hidden="1" customHeight="1" x14ac:dyDescent="0.25">
      <c r="C669" s="80"/>
      <c r="D669" s="283"/>
      <c r="E669" s="283"/>
      <c r="F669" s="283"/>
      <c r="G669" s="283"/>
      <c r="H669" s="283"/>
      <c r="I669" s="283"/>
      <c r="J669" s="283"/>
      <c r="K669" s="283"/>
      <c r="L669" s="283"/>
      <c r="M669" s="283"/>
      <c r="N669" s="81"/>
      <c r="O669" s="96"/>
      <c r="P669" s="97"/>
    </row>
    <row r="670" spans="3:16" s="611" customFormat="1" ht="17.25" hidden="1" customHeight="1" x14ac:dyDescent="0.25">
      <c r="C670" s="80"/>
      <c r="D670" s="283"/>
      <c r="E670" s="283"/>
      <c r="F670" s="283"/>
      <c r="G670" s="283"/>
      <c r="H670" s="283"/>
      <c r="I670" s="283"/>
      <c r="J670" s="283"/>
      <c r="K670" s="283"/>
      <c r="L670" s="283"/>
      <c r="M670" s="283"/>
      <c r="N670" s="81"/>
      <c r="O670" s="96"/>
      <c r="P670" s="97"/>
    </row>
    <row r="671" spans="3:16" s="611" customFormat="1" ht="17.25" hidden="1" customHeight="1" x14ac:dyDescent="0.25">
      <c r="C671" s="80"/>
      <c r="D671" s="283"/>
      <c r="E671" s="283"/>
      <c r="F671" s="283"/>
      <c r="G671" s="283"/>
      <c r="H671" s="283"/>
      <c r="I671" s="283"/>
      <c r="J671" s="283"/>
      <c r="K671" s="283"/>
      <c r="L671" s="283"/>
      <c r="M671" s="283"/>
      <c r="N671" s="81"/>
      <c r="O671" s="96"/>
      <c r="P671" s="97"/>
    </row>
    <row r="672" spans="3:16" s="588" customFormat="1" ht="17.25" hidden="1" customHeight="1" x14ac:dyDescent="0.25">
      <c r="C672" s="80"/>
      <c r="D672" s="283"/>
      <c r="E672" s="283"/>
      <c r="F672" s="283"/>
      <c r="G672" s="283"/>
      <c r="H672" s="283"/>
      <c r="I672" s="283"/>
      <c r="J672" s="283"/>
      <c r="K672" s="283"/>
      <c r="L672" s="283"/>
      <c r="M672" s="283"/>
      <c r="N672" s="81"/>
      <c r="O672" s="96"/>
      <c r="P672" s="97"/>
    </row>
    <row r="673" spans="2:16" s="588" customFormat="1" ht="17.25" hidden="1" customHeight="1" x14ac:dyDescent="0.25">
      <c r="C673" s="80"/>
      <c r="D673" s="283"/>
      <c r="E673" s="283"/>
      <c r="F673" s="283"/>
      <c r="G673" s="283"/>
      <c r="H673" s="283"/>
      <c r="I673" s="283"/>
      <c r="J673" s="283"/>
      <c r="K673" s="283"/>
      <c r="L673" s="283"/>
      <c r="M673" s="283"/>
      <c r="N673" s="81"/>
      <c r="O673" s="96"/>
      <c r="P673" s="97"/>
    </row>
    <row r="674" spans="2:16" s="588" customFormat="1" ht="9.9499999999999993" hidden="1" customHeight="1" thickBot="1" x14ac:dyDescent="0.3">
      <c r="C674" s="80"/>
      <c r="D674" s="283"/>
      <c r="E674" s="283"/>
      <c r="F674" s="283"/>
      <c r="G674" s="283"/>
      <c r="H674" s="283"/>
      <c r="I674" s="283"/>
      <c r="J674" s="283"/>
      <c r="K674" s="283"/>
      <c r="L674" s="283"/>
      <c r="M674" s="283"/>
      <c r="N674" s="81"/>
      <c r="O674" s="96"/>
      <c r="P674" s="97"/>
    </row>
    <row r="675" spans="2:16" s="146" customFormat="1" ht="18" hidden="1" customHeight="1" x14ac:dyDescent="0.25">
      <c r="B675" s="31" t="s">
        <v>34</v>
      </c>
      <c r="C675" s="29"/>
      <c r="D675" s="427"/>
      <c r="E675" s="408"/>
      <c r="F675" s="408"/>
      <c r="G675" s="1041" t="s">
        <v>343</v>
      </c>
      <c r="H675" s="1042"/>
      <c r="I675" s="1042"/>
      <c r="J675" s="1043"/>
      <c r="K675" s="1085">
        <f>'[25]MEMÓRIA DE CÁLCULO'!$K$733</f>
        <v>29.486641999999996</v>
      </c>
      <c r="L675" s="1086"/>
      <c r="M675" s="171"/>
      <c r="N675" s="18"/>
      <c r="O675" s="98"/>
      <c r="P675" s="99"/>
    </row>
    <row r="676" spans="2:16" s="146" customFormat="1" ht="18" hidden="1" customHeight="1" x14ac:dyDescent="0.25">
      <c r="B676" s="31" t="str">
        <f>C657</f>
        <v>2.3</v>
      </c>
      <c r="C676" s="29"/>
      <c r="D676" s="427"/>
      <c r="E676" s="408"/>
      <c r="F676" s="408"/>
      <c r="G676" s="1082" t="s">
        <v>344</v>
      </c>
      <c r="H676" s="1083"/>
      <c r="I676" s="1083"/>
      <c r="J676" s="1084"/>
      <c r="K676" s="1075">
        <f>K675+O657</f>
        <v>29.486641999999996</v>
      </c>
      <c r="L676" s="1076"/>
      <c r="M676" s="171"/>
      <c r="N676" s="18"/>
      <c r="O676" s="98"/>
      <c r="P676" s="99"/>
    </row>
    <row r="677" spans="2:16" s="146" customFormat="1" ht="18" hidden="1" customHeight="1" x14ac:dyDescent="0.25">
      <c r="C677" s="29"/>
      <c r="D677" s="408"/>
      <c r="E677" s="408"/>
      <c r="F677" s="408"/>
      <c r="G677" s="1082" t="s">
        <v>345</v>
      </c>
      <c r="H677" s="1083"/>
      <c r="I677" s="1083"/>
      <c r="J677" s="1084"/>
      <c r="K677" s="1075">
        <f>VLOOKUP(C657,'[26]BM DETALHADO'!$B$13:$E$126,4,FALSE)</f>
        <v>31.8</v>
      </c>
      <c r="L677" s="1076"/>
      <c r="M677" s="171"/>
      <c r="N677" s="18"/>
      <c r="O677" s="98"/>
      <c r="P677" s="99"/>
    </row>
    <row r="678" spans="2:16" s="146" customFormat="1" ht="18" hidden="1" customHeight="1" thickBot="1" x14ac:dyDescent="0.3">
      <c r="C678" s="29"/>
      <c r="D678" s="408"/>
      <c r="E678" s="408"/>
      <c r="F678" s="408"/>
      <c r="G678" s="1077" t="s">
        <v>346</v>
      </c>
      <c r="H678" s="1078"/>
      <c r="I678" s="1078"/>
      <c r="J678" s="1079"/>
      <c r="K678" s="1068">
        <f>K677-K676</f>
        <v>2.3133580000000045</v>
      </c>
      <c r="L678" s="1069"/>
      <c r="M678" s="171"/>
      <c r="N678" s="18"/>
      <c r="O678" s="98"/>
      <c r="P678" s="99"/>
    </row>
    <row r="679" spans="2:16" s="146" customFormat="1" ht="9.9499999999999993" hidden="1" customHeight="1" thickBot="1" x14ac:dyDescent="0.3">
      <c r="C679" s="21"/>
      <c r="D679" s="22"/>
      <c r="E679" s="22"/>
      <c r="F679" s="22"/>
      <c r="G679" s="360"/>
      <c r="H679" s="360"/>
      <c r="I679" s="360"/>
      <c r="J679" s="360"/>
      <c r="K679" s="361"/>
      <c r="L679" s="361"/>
      <c r="M679" s="22"/>
      <c r="N679" s="22"/>
      <c r="O679" s="100"/>
      <c r="P679" s="101"/>
    </row>
    <row r="680" spans="2:16" s="146" customFormat="1" ht="18" customHeight="1" x14ac:dyDescent="0.25">
      <c r="C680" s="20" t="s">
        <v>34</v>
      </c>
      <c r="D680" s="1052" t="s">
        <v>35</v>
      </c>
      <c r="E680" s="1053"/>
      <c r="F680" s="1053"/>
      <c r="G680" s="1053"/>
      <c r="H680" s="1053"/>
      <c r="I680" s="1053"/>
      <c r="J680" s="1053"/>
      <c r="K680" s="1053"/>
      <c r="L680" s="1053"/>
      <c r="M680" s="1054"/>
      <c r="N680" s="145" t="s">
        <v>0</v>
      </c>
      <c r="O680" s="1107" t="s">
        <v>4</v>
      </c>
      <c r="P680" s="1108"/>
    </row>
    <row r="681" spans="2:16" s="146" customFormat="1" ht="69.95" customHeight="1" thickBot="1" x14ac:dyDescent="0.3">
      <c r="C681" s="85" t="s">
        <v>149</v>
      </c>
      <c r="D681" s="1070" t="str">
        <f>VLOOKUP(C681,'BM DETALHADO'!$B$13:$D$126,2,FALSE)</f>
        <v>CAÇAMBA 5m³</v>
      </c>
      <c r="E681" s="1071"/>
      <c r="F681" s="1071"/>
      <c r="G681" s="1071"/>
      <c r="H681" s="1071"/>
      <c r="I681" s="1071"/>
      <c r="J681" s="1071"/>
      <c r="K681" s="1071"/>
      <c r="L681" s="1071"/>
      <c r="M681" s="1072"/>
      <c r="N681" s="19" t="str">
        <f>VLOOKUP(C681,'BM DETALHADO'!$B$13:$D$126,3,FALSE)</f>
        <v>VG</v>
      </c>
      <c r="O681" s="1368">
        <f>M688</f>
        <v>1</v>
      </c>
      <c r="P681" s="1369"/>
    </row>
    <row r="682" spans="2:16" s="146" customFormat="1" ht="9.9499999999999993" customHeight="1" x14ac:dyDescent="0.25">
      <c r="C682" s="77"/>
      <c r="D682" s="78"/>
      <c r="E682" s="79"/>
      <c r="F682" s="79"/>
      <c r="G682" s="79"/>
      <c r="H682" s="79"/>
      <c r="I682" s="79"/>
      <c r="J682" s="79"/>
      <c r="K682" s="79"/>
      <c r="L682" s="79"/>
      <c r="M682" s="79"/>
      <c r="N682" s="79"/>
      <c r="O682" s="91"/>
      <c r="P682" s="92"/>
    </row>
    <row r="683" spans="2:16" s="146" customFormat="1" ht="18" customHeight="1" x14ac:dyDescent="0.25">
      <c r="C683" s="147"/>
      <c r="D683" s="1149" t="s">
        <v>385</v>
      </c>
      <c r="E683" s="1149"/>
      <c r="F683" s="1149"/>
      <c r="G683" s="1149"/>
      <c r="H683" s="1149"/>
      <c r="I683" s="504" t="s">
        <v>290</v>
      </c>
      <c r="J683" s="505">
        <v>5</v>
      </c>
      <c r="K683" s="505" t="s">
        <v>204</v>
      </c>
      <c r="L683" s="503"/>
      <c r="M683" s="169"/>
      <c r="N683" s="169"/>
      <c r="O683" s="343"/>
      <c r="P683" s="93"/>
    </row>
    <row r="684" spans="2:16" s="146" customFormat="1" ht="18" customHeight="1" x14ac:dyDescent="0.25">
      <c r="C684" s="147"/>
      <c r="D684" s="1040" t="s">
        <v>386</v>
      </c>
      <c r="E684" s="1040"/>
      <c r="F684" s="1040"/>
      <c r="G684" s="1040"/>
      <c r="H684" s="1040"/>
      <c r="I684" s="214" t="s">
        <v>290</v>
      </c>
      <c r="J684" s="214">
        <f>O657</f>
        <v>0</v>
      </c>
      <c r="K684" s="350" t="s">
        <v>204</v>
      </c>
      <c r="L684" s="330"/>
      <c r="M684" s="330"/>
      <c r="N684" s="330"/>
      <c r="O684" s="94"/>
      <c r="P684" s="93"/>
    </row>
    <row r="685" spans="2:16" s="146" customFormat="1" ht="18" customHeight="1" x14ac:dyDescent="0.25">
      <c r="C685" s="202"/>
      <c r="D685" s="1150" t="s">
        <v>400</v>
      </c>
      <c r="E685" s="1150"/>
      <c r="F685" s="1150"/>
      <c r="G685" s="1150"/>
      <c r="H685" s="1150"/>
      <c r="I685" s="579" t="s">
        <v>290</v>
      </c>
      <c r="J685" s="584">
        <v>0</v>
      </c>
      <c r="K685" s="579" t="s">
        <v>204</v>
      </c>
      <c r="L685" s="168"/>
      <c r="M685" s="169"/>
      <c r="N685" s="169"/>
      <c r="O685" s="169"/>
      <c r="P685" s="93"/>
    </row>
    <row r="686" spans="2:16" s="146" customFormat="1" ht="18" customHeight="1" x14ac:dyDescent="0.25">
      <c r="C686" s="202"/>
      <c r="D686" s="1040" t="s">
        <v>401</v>
      </c>
      <c r="E686" s="1040"/>
      <c r="F686" s="1040"/>
      <c r="G686" s="1040"/>
      <c r="H686" s="1040"/>
      <c r="I686" s="1040"/>
      <c r="J686" s="803" t="s">
        <v>290</v>
      </c>
      <c r="K686" s="579">
        <f>5*(1*1*0.4)</f>
        <v>2</v>
      </c>
      <c r="L686" s="216" t="s">
        <v>204</v>
      </c>
      <c r="M686" s="169"/>
      <c r="N686" s="169"/>
      <c r="O686" s="169"/>
      <c r="P686" s="93"/>
    </row>
    <row r="687" spans="2:16" s="611" customFormat="1" ht="18" customHeight="1" x14ac:dyDescent="0.25">
      <c r="C687" s="202"/>
      <c r="D687" s="1039" t="s">
        <v>452</v>
      </c>
      <c r="E687" s="1039"/>
      <c r="F687" s="1039"/>
      <c r="G687" s="1039"/>
      <c r="H687" s="1039"/>
      <c r="I687" s="835" t="s">
        <v>290</v>
      </c>
      <c r="J687" s="805">
        <f>O801*0.28</f>
        <v>0.67200000000000004</v>
      </c>
      <c r="K687" s="813" t="s">
        <v>204</v>
      </c>
      <c r="L687" s="216"/>
      <c r="M687" s="169"/>
      <c r="N687" s="169"/>
      <c r="O687" s="169"/>
      <c r="P687" s="93"/>
    </row>
    <row r="688" spans="2:16" s="146" customFormat="1" ht="18" customHeight="1" x14ac:dyDescent="0.25">
      <c r="C688" s="202"/>
      <c r="D688" s="1073" t="s">
        <v>19</v>
      </c>
      <c r="E688" s="1074"/>
      <c r="F688" s="1074"/>
      <c r="G688" s="1074"/>
      <c r="H688" s="1074"/>
      <c r="I688" s="506" t="s">
        <v>290</v>
      </c>
      <c r="J688" s="818">
        <f>(J684+J685+K686+J687)/J683</f>
        <v>0.53439999999999999</v>
      </c>
      <c r="K688" s="506" t="s">
        <v>152</v>
      </c>
      <c r="L688" s="825" t="s">
        <v>290</v>
      </c>
      <c r="M688" s="826">
        <v>1</v>
      </c>
      <c r="N688" s="827" t="s">
        <v>152</v>
      </c>
      <c r="O688" s="169"/>
      <c r="P688" s="93"/>
    </row>
    <row r="689" spans="3:16" s="146" customFormat="1" ht="18" customHeight="1" x14ac:dyDescent="0.25">
      <c r="C689" s="202"/>
      <c r="D689" s="81"/>
      <c r="E689" s="81"/>
      <c r="F689" s="81"/>
      <c r="G689" s="81"/>
      <c r="H689" s="81"/>
      <c r="I689" s="167"/>
      <c r="J689" s="168"/>
      <c r="K689" s="167"/>
      <c r="L689" s="168"/>
      <c r="M689" s="169"/>
      <c r="N689" s="169"/>
      <c r="O689" s="169"/>
      <c r="P689" s="93"/>
    </row>
    <row r="690" spans="3:16" s="611" customFormat="1" ht="18" customHeight="1" x14ac:dyDescent="0.25">
      <c r="C690" s="202"/>
      <c r="D690" s="81"/>
      <c r="E690" s="81"/>
      <c r="F690" s="81"/>
      <c r="G690" s="81"/>
      <c r="H690" s="81"/>
      <c r="I690" s="167"/>
      <c r="J690" s="168"/>
      <c r="K690" s="167"/>
      <c r="L690" s="168"/>
      <c r="M690" s="169"/>
      <c r="N690" s="169"/>
      <c r="O690" s="169"/>
      <c r="P690" s="93"/>
    </row>
    <row r="691" spans="3:16" s="611" customFormat="1" ht="18" customHeight="1" x14ac:dyDescent="0.25">
      <c r="C691" s="202"/>
      <c r="D691" s="81"/>
      <c r="E691" s="81"/>
      <c r="F691" s="81"/>
      <c r="G691" s="81"/>
      <c r="H691" s="81"/>
      <c r="I691" s="167"/>
      <c r="J691" s="168"/>
      <c r="K691" s="167"/>
      <c r="L691" s="168"/>
      <c r="M691" s="169"/>
      <c r="N691" s="169"/>
      <c r="O691" s="169"/>
      <c r="P691" s="93"/>
    </row>
    <row r="692" spans="3:16" s="611" customFormat="1" ht="18" customHeight="1" x14ac:dyDescent="0.25">
      <c r="C692" s="202"/>
      <c r="D692" s="81"/>
      <c r="E692" s="81"/>
      <c r="F692" s="81"/>
      <c r="G692" s="81"/>
      <c r="H692" s="81"/>
      <c r="I692" s="167"/>
      <c r="J692" s="168"/>
      <c r="K692" s="167"/>
      <c r="L692" s="168"/>
      <c r="M692" s="169"/>
      <c r="N692" s="169"/>
      <c r="O692" s="169"/>
      <c r="P692" s="93"/>
    </row>
    <row r="693" spans="3:16" s="611" customFormat="1" ht="18" customHeight="1" x14ac:dyDescent="0.25">
      <c r="C693" s="202"/>
      <c r="D693" s="81"/>
      <c r="E693" s="81"/>
      <c r="F693" s="81"/>
      <c r="G693" s="81"/>
      <c r="H693" s="81"/>
      <c r="I693" s="167"/>
      <c r="J693" s="168"/>
      <c r="K693" s="167"/>
      <c r="L693" s="168"/>
      <c r="M693" s="169"/>
      <c r="N693" s="169"/>
      <c r="O693" s="169"/>
      <c r="P693" s="93"/>
    </row>
    <row r="694" spans="3:16" s="611" customFormat="1" ht="18" customHeight="1" x14ac:dyDescent="0.25">
      <c r="C694" s="202"/>
      <c r="D694" s="81"/>
      <c r="E694" s="81"/>
      <c r="F694" s="81"/>
      <c r="G694" s="81"/>
      <c r="H694" s="81"/>
      <c r="I694" s="167"/>
      <c r="J694" s="168"/>
      <c r="K694" s="167"/>
      <c r="L694" s="168"/>
      <c r="M694" s="169"/>
      <c r="N694" s="169"/>
      <c r="O694" s="169"/>
      <c r="P694" s="93"/>
    </row>
    <row r="695" spans="3:16" s="611" customFormat="1" ht="18" customHeight="1" x14ac:dyDescent="0.25">
      <c r="C695" s="202"/>
      <c r="D695" s="81"/>
      <c r="E695" s="81"/>
      <c r="F695" s="81"/>
      <c r="G695" s="81"/>
      <c r="H695" s="81"/>
      <c r="I695" s="167"/>
      <c r="J695" s="168"/>
      <c r="K695" s="167"/>
      <c r="L695" s="168"/>
      <c r="M695" s="169"/>
      <c r="N695" s="169"/>
      <c r="O695" s="169"/>
      <c r="P695" s="93"/>
    </row>
    <row r="696" spans="3:16" s="611" customFormat="1" ht="18" customHeight="1" x14ac:dyDescent="0.25">
      <c r="C696" s="202"/>
      <c r="D696" s="81"/>
      <c r="E696" s="81"/>
      <c r="F696" s="81"/>
      <c r="G696" s="81"/>
      <c r="H696" s="81"/>
      <c r="I696" s="167"/>
      <c r="J696" s="168"/>
      <c r="K696" s="167"/>
      <c r="L696" s="168"/>
      <c r="M696" s="169"/>
      <c r="N696" s="169"/>
      <c r="O696" s="169"/>
      <c r="P696" s="93"/>
    </row>
    <row r="697" spans="3:16" s="611" customFormat="1" ht="18" customHeight="1" thickBot="1" x14ac:dyDescent="0.3">
      <c r="C697" s="202"/>
      <c r="D697" s="81"/>
      <c r="E697" s="81"/>
      <c r="F697" s="81"/>
      <c r="G697" s="81"/>
      <c r="H697" s="81"/>
      <c r="I697" s="167"/>
      <c r="J697" s="168"/>
      <c r="K697" s="167"/>
      <c r="L697" s="168"/>
      <c r="M697" s="169"/>
      <c r="N697" s="169"/>
      <c r="O697" s="169"/>
      <c r="P697" s="93"/>
    </row>
    <row r="698" spans="3:16" s="146" customFormat="1" ht="18" customHeight="1" x14ac:dyDescent="0.25">
      <c r="C698" s="80"/>
      <c r="D698" s="331"/>
      <c r="E698" s="331"/>
      <c r="F698" s="331"/>
      <c r="G698" s="1041" t="s">
        <v>343</v>
      </c>
      <c r="H698" s="1042"/>
      <c r="I698" s="1042"/>
      <c r="J698" s="1043"/>
      <c r="K698" s="1213">
        <f>'[27]MEMÓRIA DE CÁLCULO'!$K$690</f>
        <v>18.2329936</v>
      </c>
      <c r="L698" s="1214"/>
      <c r="M698" s="332"/>
      <c r="N698" s="328"/>
      <c r="O698" s="95"/>
      <c r="P698" s="93"/>
    </row>
    <row r="699" spans="3:16" s="146" customFormat="1" ht="18" customHeight="1" x14ac:dyDescent="0.25">
      <c r="C699" s="80"/>
      <c r="D699" s="331"/>
      <c r="E699" s="331"/>
      <c r="F699" s="331"/>
      <c r="G699" s="1082" t="s">
        <v>344</v>
      </c>
      <c r="H699" s="1083"/>
      <c r="I699" s="1083"/>
      <c r="J699" s="1084"/>
      <c r="K699" s="1371">
        <f>K698+O681</f>
        <v>19.2329936</v>
      </c>
      <c r="L699" s="1372"/>
      <c r="M699" s="332"/>
      <c r="N699" s="328"/>
      <c r="O699" s="95"/>
      <c r="P699" s="93"/>
    </row>
    <row r="700" spans="3:16" s="146" customFormat="1" ht="18" customHeight="1" x14ac:dyDescent="0.25">
      <c r="C700" s="80"/>
      <c r="D700" s="331"/>
      <c r="E700" s="331"/>
      <c r="F700" s="331"/>
      <c r="G700" s="1082" t="s">
        <v>345</v>
      </c>
      <c r="H700" s="1083"/>
      <c r="I700" s="1083"/>
      <c r="J700" s="1084"/>
      <c r="K700" s="1075">
        <f>'BM DETALHADO'!E54</f>
        <v>35</v>
      </c>
      <c r="L700" s="1076"/>
      <c r="M700" s="332"/>
      <c r="N700" s="328"/>
      <c r="O700" s="95"/>
      <c r="P700" s="93"/>
    </row>
    <row r="701" spans="3:16" s="146" customFormat="1" ht="18" customHeight="1" thickBot="1" x14ac:dyDescent="0.3">
      <c r="C701" s="80"/>
      <c r="D701" s="81"/>
      <c r="E701" s="81"/>
      <c r="F701" s="81"/>
      <c r="G701" s="1077" t="s">
        <v>346</v>
      </c>
      <c r="H701" s="1078"/>
      <c r="I701" s="1078"/>
      <c r="J701" s="1079"/>
      <c r="K701" s="1080">
        <f>K700-K699</f>
        <v>15.7670064</v>
      </c>
      <c r="L701" s="1081"/>
      <c r="M701" s="81"/>
      <c r="N701" s="81"/>
      <c r="O701" s="96"/>
      <c r="P701" s="97"/>
    </row>
    <row r="702" spans="3:16" s="146" customFormat="1" ht="9.9499999999999993" customHeight="1" x14ac:dyDescent="0.25">
      <c r="C702" s="80"/>
      <c r="D702" s="81"/>
      <c r="E702" s="81"/>
      <c r="F702" s="81"/>
      <c r="G702" s="81"/>
      <c r="H702" s="81"/>
      <c r="I702" s="81"/>
      <c r="J702" s="81"/>
      <c r="K702" s="81"/>
      <c r="L702" s="81"/>
      <c r="M702" s="81"/>
      <c r="N702" s="81"/>
      <c r="O702" s="96"/>
      <c r="P702" s="97"/>
    </row>
    <row r="703" spans="3:16" s="146" customFormat="1" ht="9.9499999999999993" customHeight="1" thickBot="1" x14ac:dyDescent="0.3">
      <c r="C703" s="21"/>
      <c r="D703" s="22"/>
      <c r="E703" s="22"/>
      <c r="F703" s="22"/>
      <c r="G703" s="360"/>
      <c r="H703" s="360"/>
      <c r="I703" s="360"/>
      <c r="J703" s="360"/>
      <c r="K703" s="361"/>
      <c r="L703" s="361"/>
      <c r="M703" s="22"/>
      <c r="N703" s="22"/>
      <c r="O703" s="100"/>
      <c r="P703" s="101"/>
    </row>
    <row r="704" spans="3:16" s="146" customFormat="1" ht="18" customHeight="1" x14ac:dyDescent="0.25">
      <c r="C704" s="20" t="s">
        <v>34</v>
      </c>
      <c r="D704" s="1052" t="s">
        <v>35</v>
      </c>
      <c r="E704" s="1053"/>
      <c r="F704" s="1053"/>
      <c r="G704" s="1053"/>
      <c r="H704" s="1053"/>
      <c r="I704" s="1053"/>
      <c r="J704" s="1053"/>
      <c r="K704" s="1053"/>
      <c r="L704" s="1053"/>
      <c r="M704" s="1054"/>
      <c r="N704" s="145" t="s">
        <v>0</v>
      </c>
      <c r="O704" s="1107" t="s">
        <v>4</v>
      </c>
      <c r="P704" s="1108"/>
    </row>
    <row r="705" spans="2:16" s="146" customFormat="1" ht="69.95" customHeight="1" thickBot="1" x14ac:dyDescent="0.3">
      <c r="C705" s="85" t="s">
        <v>153</v>
      </c>
      <c r="D705" s="1070" t="str">
        <f>VLOOKUP(C705,'BM DETALHADO'!$B$13:$D$126,2,FALSE)</f>
        <v>DESMONTAGEM DE PISO EM  PEDRA  - REAPROVEITAMENTO MEDIANTE REMOÇÃO,  LIMPEZA, ACONDICIONAMENTO  E RECUPERAÇÃO POSTERIOR DO MOSAICO</v>
      </c>
      <c r="E705" s="1071"/>
      <c r="F705" s="1071"/>
      <c r="G705" s="1071"/>
      <c r="H705" s="1071"/>
      <c r="I705" s="1071"/>
      <c r="J705" s="1071"/>
      <c r="K705" s="1071"/>
      <c r="L705" s="1071"/>
      <c r="M705" s="1072"/>
      <c r="N705" s="19" t="str">
        <f>VLOOKUP(C705,'BM DETALHADO'!$B$13:$D$126,3,FALSE)</f>
        <v>M2</v>
      </c>
      <c r="O705" s="1109">
        <f>J715</f>
        <v>6.4600000000000009</v>
      </c>
      <c r="P705" s="1110"/>
    </row>
    <row r="706" spans="2:16" s="146" customFormat="1" ht="9.9499999999999993" customHeight="1" x14ac:dyDescent="0.25">
      <c r="C706" s="77"/>
      <c r="D706" s="78"/>
      <c r="E706" s="79"/>
      <c r="F706" s="79"/>
      <c r="G706" s="79"/>
      <c r="H706" s="79"/>
      <c r="I706" s="79"/>
      <c r="J706" s="79"/>
      <c r="K706" s="79"/>
      <c r="L706" s="79"/>
      <c r="M706" s="79"/>
      <c r="N706" s="79"/>
      <c r="O706" s="91"/>
      <c r="P706" s="92"/>
    </row>
    <row r="707" spans="2:16" s="146" customFormat="1" ht="18" customHeight="1" x14ac:dyDescent="0.25">
      <c r="C707" s="373"/>
      <c r="D707" s="1087" t="s">
        <v>446</v>
      </c>
      <c r="E707" s="1088"/>
      <c r="F707" s="1088"/>
      <c r="G707" s="1089"/>
      <c r="H707" s="828"/>
      <c r="I707" s="219"/>
      <c r="J707" s="1087" t="s">
        <v>447</v>
      </c>
      <c r="K707" s="1088"/>
      <c r="L707" s="1088"/>
      <c r="M707" s="1089"/>
      <c r="N707" s="169"/>
      <c r="O707" s="814"/>
      <c r="P707" s="93"/>
    </row>
    <row r="708" spans="2:16" s="146" customFormat="1" ht="18" customHeight="1" x14ac:dyDescent="0.25">
      <c r="C708" s="237"/>
      <c r="D708" s="815" t="s">
        <v>327</v>
      </c>
      <c r="E708" s="815" t="s">
        <v>309</v>
      </c>
      <c r="F708" s="815" t="s">
        <v>291</v>
      </c>
      <c r="G708" s="815" t="s">
        <v>279</v>
      </c>
      <c r="H708" s="829"/>
      <c r="I708" s="817"/>
      <c r="J708" s="815" t="s">
        <v>327</v>
      </c>
      <c r="K708" s="815" t="s">
        <v>309</v>
      </c>
      <c r="L708" s="815" t="s">
        <v>291</v>
      </c>
      <c r="M708" s="815" t="s">
        <v>279</v>
      </c>
      <c r="N708" s="808"/>
      <c r="O708" s="94"/>
      <c r="P708" s="93"/>
    </row>
    <row r="709" spans="2:16" s="146" customFormat="1" ht="18" customHeight="1" x14ac:dyDescent="0.25">
      <c r="C709" s="237"/>
      <c r="D709" s="831">
        <v>1.1000000000000001</v>
      </c>
      <c r="E709" s="831">
        <v>1.1000000000000001</v>
      </c>
      <c r="F709" s="464">
        <f>D709*E709</f>
        <v>1.2100000000000002</v>
      </c>
      <c r="G709" s="816" t="s">
        <v>292</v>
      </c>
      <c r="H709" s="830"/>
      <c r="I709" s="613"/>
      <c r="J709" s="831">
        <v>1.5</v>
      </c>
      <c r="K709" s="831">
        <v>1.5</v>
      </c>
      <c r="L709" s="464">
        <f>J709*K709</f>
        <v>2.25</v>
      </c>
      <c r="M709" s="816" t="s">
        <v>292</v>
      </c>
      <c r="N709" s="169"/>
      <c r="O709" s="169"/>
      <c r="P709" s="93"/>
    </row>
    <row r="710" spans="2:16" s="611" customFormat="1" ht="18" customHeight="1" x14ac:dyDescent="0.25">
      <c r="C710" s="237"/>
      <c r="D710" s="298"/>
      <c r="E710" s="298"/>
      <c r="F710" s="298"/>
      <c r="G710" s="298"/>
      <c r="H710" s="298"/>
      <c r="I710" s="613"/>
      <c r="J710" s="299"/>
      <c r="K710" s="299"/>
      <c r="L710" s="216"/>
      <c r="M710" s="212"/>
      <c r="N710" s="169"/>
      <c r="O710" s="169"/>
      <c r="P710" s="93"/>
    </row>
    <row r="711" spans="2:16" s="611" customFormat="1" ht="18" customHeight="1" x14ac:dyDescent="0.25">
      <c r="C711" s="237"/>
      <c r="D711" s="1087" t="s">
        <v>448</v>
      </c>
      <c r="E711" s="1088"/>
      <c r="F711" s="1088"/>
      <c r="G711" s="1089"/>
      <c r="H711" s="298"/>
      <c r="I711" s="613"/>
      <c r="J711" s="1087" t="s">
        <v>449</v>
      </c>
      <c r="K711" s="1088"/>
      <c r="L711" s="1088"/>
      <c r="M711" s="1089"/>
      <c r="N711" s="169"/>
      <c r="O711" s="169"/>
      <c r="P711" s="93"/>
    </row>
    <row r="712" spans="2:16" s="611" customFormat="1" ht="18" customHeight="1" x14ac:dyDescent="0.25">
      <c r="C712" s="237"/>
      <c r="D712" s="815" t="s">
        <v>327</v>
      </c>
      <c r="E712" s="815" t="s">
        <v>309</v>
      </c>
      <c r="F712" s="815" t="s">
        <v>291</v>
      </c>
      <c r="G712" s="815" t="s">
        <v>279</v>
      </c>
      <c r="H712" s="298"/>
      <c r="I712" s="613"/>
      <c r="J712" s="815" t="s">
        <v>327</v>
      </c>
      <c r="K712" s="815" t="s">
        <v>309</v>
      </c>
      <c r="L712" s="815" t="s">
        <v>291</v>
      </c>
      <c r="M712" s="815" t="s">
        <v>279</v>
      </c>
      <c r="N712" s="169"/>
      <c r="O712" s="169"/>
      <c r="P712" s="93"/>
    </row>
    <row r="713" spans="2:16" s="611" customFormat="1" ht="18" customHeight="1" x14ac:dyDescent="0.25">
      <c r="C713" s="237"/>
      <c r="D713" s="831">
        <v>1.2</v>
      </c>
      <c r="E713" s="831">
        <v>1.2</v>
      </c>
      <c r="F713" s="464">
        <f>D713*E713</f>
        <v>1.44</v>
      </c>
      <c r="G713" s="816" t="s">
        <v>292</v>
      </c>
      <c r="H713" s="298"/>
      <c r="I713" s="613"/>
      <c r="J713" s="831">
        <v>1.2</v>
      </c>
      <c r="K713" s="831">
        <v>1.3</v>
      </c>
      <c r="L713" s="464">
        <f>J713*K713</f>
        <v>1.56</v>
      </c>
      <c r="M713" s="816" t="s">
        <v>292</v>
      </c>
      <c r="N713" s="169"/>
      <c r="O713" s="169"/>
      <c r="P713" s="93"/>
    </row>
    <row r="714" spans="2:16" s="611" customFormat="1" ht="18" customHeight="1" x14ac:dyDescent="0.25">
      <c r="C714" s="237"/>
      <c r="D714" s="298"/>
      <c r="E714" s="298"/>
      <c r="F714" s="298"/>
      <c r="G714" s="613"/>
      <c r="H714" s="298"/>
      <c r="I714" s="613"/>
      <c r="J714" s="298"/>
      <c r="K714" s="298"/>
      <c r="L714" s="298"/>
      <c r="M714" s="613"/>
      <c r="N714" s="169"/>
      <c r="O714" s="169"/>
      <c r="P714" s="93"/>
    </row>
    <row r="715" spans="2:16" s="146" customFormat="1" ht="18" customHeight="1" x14ac:dyDescent="0.25">
      <c r="C715" s="237"/>
      <c r="D715" s="215"/>
      <c r="E715" s="215"/>
      <c r="F715" s="1090" t="s">
        <v>19</v>
      </c>
      <c r="G715" s="1090"/>
      <c r="H715" s="1090" t="s">
        <v>290</v>
      </c>
      <c r="I715" s="1090"/>
      <c r="J715" s="1090">
        <f>F709+F713+L709+L713</f>
        <v>6.4600000000000009</v>
      </c>
      <c r="K715" s="1090"/>
      <c r="L715" s="216"/>
      <c r="M715" s="212"/>
      <c r="N715" s="169"/>
      <c r="O715" s="169"/>
      <c r="P715" s="93"/>
    </row>
    <row r="716" spans="2:16" s="146" customFormat="1" ht="9.9499999999999993" customHeight="1" thickBot="1" x14ac:dyDescent="0.3">
      <c r="C716" s="80"/>
      <c r="D716" s="81"/>
      <c r="E716" s="81"/>
      <c r="F716" s="81"/>
      <c r="G716" s="81"/>
      <c r="H716" s="81"/>
      <c r="I716" s="81"/>
      <c r="J716" s="81"/>
      <c r="K716" s="81"/>
      <c r="L716" s="81"/>
      <c r="M716" s="81"/>
      <c r="N716" s="81"/>
      <c r="O716" s="96"/>
      <c r="P716" s="97"/>
    </row>
    <row r="717" spans="2:16" s="146" customFormat="1" ht="18" customHeight="1" x14ac:dyDescent="0.25">
      <c r="B717" s="367" t="s">
        <v>34</v>
      </c>
      <c r="C717" s="29"/>
      <c r="D717" s="348"/>
      <c r="E717" s="30"/>
      <c r="F717" s="30"/>
      <c r="G717" s="1041" t="s">
        <v>343</v>
      </c>
      <c r="H717" s="1042"/>
      <c r="I717" s="1042"/>
      <c r="J717" s="1043"/>
      <c r="K717" s="1085">
        <f>'[27]MEMÓRIA DE CÁLCULO'!$K$721</f>
        <v>52.358199999999997</v>
      </c>
      <c r="L717" s="1086"/>
      <c r="M717" s="18"/>
      <c r="N717" s="18"/>
      <c r="O717" s="98"/>
      <c r="P717" s="99"/>
    </row>
    <row r="718" spans="2:16" s="146" customFormat="1" ht="18" customHeight="1" x14ac:dyDescent="0.25">
      <c r="B718" s="367" t="str">
        <f>C705</f>
        <v>2.5</v>
      </c>
      <c r="C718" s="29"/>
      <c r="D718" s="348"/>
      <c r="E718" s="30"/>
      <c r="F718" s="30"/>
      <c r="G718" s="1082" t="s">
        <v>344</v>
      </c>
      <c r="H718" s="1083"/>
      <c r="I718" s="1083"/>
      <c r="J718" s="1084"/>
      <c r="K718" s="1075">
        <f>K717+O705</f>
        <v>58.818199999999997</v>
      </c>
      <c r="L718" s="1076"/>
      <c r="M718" s="18"/>
      <c r="N718" s="18"/>
      <c r="O718" s="98"/>
      <c r="P718" s="99"/>
    </row>
    <row r="719" spans="2:16" s="146" customFormat="1" ht="18" customHeight="1" x14ac:dyDescent="0.25">
      <c r="C719" s="29"/>
      <c r="D719" s="30"/>
      <c r="E719" s="30"/>
      <c r="F719" s="30"/>
      <c r="G719" s="1082" t="s">
        <v>345</v>
      </c>
      <c r="H719" s="1083"/>
      <c r="I719" s="1083"/>
      <c r="J719" s="1084"/>
      <c r="K719" s="1075">
        <f>VLOOKUP(C705,'[26]BM DETALHADO'!$B$13:$E$126,4,FALSE)</f>
        <v>148</v>
      </c>
      <c r="L719" s="1076"/>
      <c r="M719" s="18"/>
      <c r="N719" s="18"/>
      <c r="O719" s="98"/>
      <c r="P719" s="99"/>
    </row>
    <row r="720" spans="2:16" s="146" customFormat="1" ht="18" customHeight="1" thickBot="1" x14ac:dyDescent="0.3">
      <c r="C720" s="29"/>
      <c r="D720" s="30"/>
      <c r="E720" s="30"/>
      <c r="F720" s="30"/>
      <c r="G720" s="1077" t="s">
        <v>346</v>
      </c>
      <c r="H720" s="1078"/>
      <c r="I720" s="1078"/>
      <c r="J720" s="1079"/>
      <c r="K720" s="1068">
        <f>K719-K718</f>
        <v>89.18180000000001</v>
      </c>
      <c r="L720" s="1069"/>
      <c r="M720" s="18"/>
      <c r="N720" s="18"/>
      <c r="O720" s="98"/>
      <c r="P720" s="99"/>
    </row>
    <row r="721" spans="3:25" s="146" customFormat="1" ht="9.9499999999999993" customHeight="1" thickBot="1" x14ac:dyDescent="0.3">
      <c r="C721" s="288"/>
      <c r="D721" s="18"/>
      <c r="E721" s="18"/>
      <c r="F721" s="18"/>
      <c r="G721" s="356"/>
      <c r="H721" s="356"/>
      <c r="I721" s="356"/>
      <c r="J721" s="356"/>
      <c r="K721" s="357"/>
      <c r="L721" s="357"/>
      <c r="M721" s="18"/>
      <c r="N721" s="18"/>
      <c r="O721" s="98"/>
      <c r="P721" s="99"/>
    </row>
    <row r="722" spans="3:25" s="146" customFormat="1" ht="18" customHeight="1" x14ac:dyDescent="0.25">
      <c r="C722" s="20" t="s">
        <v>34</v>
      </c>
      <c r="D722" s="1052" t="s">
        <v>35</v>
      </c>
      <c r="E722" s="1053"/>
      <c r="F722" s="1053"/>
      <c r="G722" s="1053"/>
      <c r="H722" s="1053"/>
      <c r="I722" s="1053"/>
      <c r="J722" s="1053"/>
      <c r="K722" s="1053"/>
      <c r="L722" s="1053"/>
      <c r="M722" s="1054"/>
      <c r="N722" s="327" t="s">
        <v>0</v>
      </c>
      <c r="O722" s="1107" t="s">
        <v>4</v>
      </c>
      <c r="P722" s="1108"/>
    </row>
    <row r="723" spans="3:25" s="146" customFormat="1" ht="69.95" customHeight="1" thickBot="1" x14ac:dyDescent="0.3">
      <c r="C723" s="85" t="s">
        <v>155</v>
      </c>
      <c r="D723" s="1070" t="str">
        <f>VLOOKUP(C723,'BM DETALHADO'!$B$13:$D$126,2,FALSE)</f>
        <v>DESMONTAGEM DE PAREDE DE ADOBE PARA LIBERAR ESTEIOS- REAPROVEITAMENTO MEDIANTE REMOÇÃO,  LIMPEZA, ACONDICIONAMENTO  PARA RECUPERAÇÃO POSTERIOR DA PAREDE</v>
      </c>
      <c r="E723" s="1071"/>
      <c r="F723" s="1071"/>
      <c r="G723" s="1071"/>
      <c r="H723" s="1071"/>
      <c r="I723" s="1071"/>
      <c r="J723" s="1071"/>
      <c r="K723" s="1071"/>
      <c r="L723" s="1071"/>
      <c r="M723" s="1072"/>
      <c r="N723" s="19" t="str">
        <f>VLOOKUP(C723,'BM DETALHADO'!$B$13:$D$126,3,FALSE)</f>
        <v>M2</v>
      </c>
      <c r="O723" s="1109">
        <f>I732</f>
        <v>6.6800000000000006</v>
      </c>
      <c r="P723" s="1110"/>
    </row>
    <row r="724" spans="3:25" s="146" customFormat="1" ht="9.9499999999999993" customHeight="1" x14ac:dyDescent="0.25">
      <c r="C724" s="77"/>
      <c r="D724" s="78"/>
      <c r="E724" s="79"/>
      <c r="F724" s="79"/>
      <c r="G724" s="79"/>
      <c r="H724" s="79"/>
      <c r="I724" s="79"/>
      <c r="J724" s="79"/>
      <c r="K724" s="79"/>
      <c r="L724" s="79"/>
      <c r="M724" s="79"/>
      <c r="N724" s="79"/>
      <c r="O724" s="91"/>
      <c r="P724" s="92"/>
    </row>
    <row r="725" spans="3:25" s="611" customFormat="1" ht="18" customHeight="1" x14ac:dyDescent="0.25">
      <c r="C725" s="80"/>
      <c r="D725" s="671" t="s">
        <v>308</v>
      </c>
      <c r="E725" s="1031" t="s">
        <v>351</v>
      </c>
      <c r="F725" s="1031"/>
      <c r="G725" s="1031" t="s">
        <v>404</v>
      </c>
      <c r="H725" s="1031"/>
      <c r="I725" s="1031" t="s">
        <v>409</v>
      </c>
      <c r="J725" s="1031"/>
      <c r="K725" s="679"/>
      <c r="L725" s="679"/>
      <c r="M725" s="679"/>
      <c r="N725" s="679"/>
      <c r="O725" s="94"/>
      <c r="P725" s="93"/>
    </row>
    <row r="726" spans="3:25" s="611" customFormat="1" ht="18" customHeight="1" x14ac:dyDescent="0.25">
      <c r="C726" s="80"/>
      <c r="D726" s="692" t="s">
        <v>441</v>
      </c>
      <c r="E726" s="1057">
        <v>1.1000000000000001</v>
      </c>
      <c r="F726" s="1057"/>
      <c r="G726" s="1058">
        <v>0.91</v>
      </c>
      <c r="H726" s="1058"/>
      <c r="I726" s="1059">
        <f>E726*G726</f>
        <v>1.0010000000000001</v>
      </c>
      <c r="J726" s="1059"/>
      <c r="K726" s="679"/>
      <c r="L726" s="679"/>
      <c r="M726" s="679"/>
      <c r="N726" s="679"/>
      <c r="O726" s="94"/>
      <c r="P726" s="93"/>
    </row>
    <row r="727" spans="3:25" s="611" customFormat="1" ht="18" customHeight="1" x14ac:dyDescent="0.25">
      <c r="C727" s="80"/>
      <c r="D727" s="691" t="s">
        <v>444</v>
      </c>
      <c r="E727" s="1060">
        <v>1.1499999999999999</v>
      </c>
      <c r="F727" s="1060"/>
      <c r="G727" s="1061">
        <v>1.22</v>
      </c>
      <c r="H727" s="1061"/>
      <c r="I727" s="1059">
        <f>E727*G727</f>
        <v>1.4029999999999998</v>
      </c>
      <c r="J727" s="1059"/>
      <c r="K727" s="679"/>
      <c r="L727" s="679"/>
      <c r="M727" s="679"/>
      <c r="N727" s="679"/>
      <c r="O727" s="94"/>
      <c r="P727" s="93"/>
    </row>
    <row r="728" spans="3:25" s="146" customFormat="1" ht="18" customHeight="1" x14ac:dyDescent="0.25">
      <c r="C728" s="202"/>
      <c r="D728" s="691" t="s">
        <v>442</v>
      </c>
      <c r="E728" s="1062">
        <v>1.05</v>
      </c>
      <c r="F728" s="1063"/>
      <c r="G728" s="1064">
        <v>1.54</v>
      </c>
      <c r="H728" s="1065"/>
      <c r="I728" s="1059">
        <f>E728*G728</f>
        <v>1.6170000000000002</v>
      </c>
      <c r="J728" s="1059"/>
      <c r="K728" s="219"/>
      <c r="L728" s="219"/>
      <c r="M728" s="219"/>
      <c r="N728" s="219"/>
      <c r="O728" s="219"/>
      <c r="P728" s="374"/>
    </row>
    <row r="729" spans="3:25" s="588" customFormat="1" ht="18" customHeight="1" x14ac:dyDescent="0.25">
      <c r="C729" s="202"/>
      <c r="D729" s="691" t="s">
        <v>443</v>
      </c>
      <c r="E729" s="1062">
        <v>1.1200000000000001</v>
      </c>
      <c r="F729" s="1063"/>
      <c r="G729" s="1064">
        <v>1.6</v>
      </c>
      <c r="H729" s="1065"/>
      <c r="I729" s="1059">
        <f>E729*G729</f>
        <v>1.7920000000000003</v>
      </c>
      <c r="J729" s="1059"/>
      <c r="K729" s="219"/>
      <c r="L729" s="219"/>
      <c r="M729" s="219"/>
      <c r="N729" s="219"/>
      <c r="O729" s="219"/>
      <c r="P729" s="374"/>
    </row>
    <row r="730" spans="3:25" s="146" customFormat="1" ht="18" customHeight="1" x14ac:dyDescent="0.25">
      <c r="C730" s="336"/>
      <c r="D730" s="1091" t="s">
        <v>445</v>
      </c>
      <c r="E730" s="1093">
        <v>0.85</v>
      </c>
      <c r="F730" s="1094"/>
      <c r="G730" s="1093">
        <v>1.02</v>
      </c>
      <c r="H730" s="1094"/>
      <c r="I730" s="1097">
        <f>E730*G730</f>
        <v>0.86699999999999999</v>
      </c>
      <c r="J730" s="1098"/>
      <c r="K730" s="219"/>
      <c r="L730" s="219"/>
      <c r="M730" s="219"/>
      <c r="N730" s="219"/>
      <c r="O730" s="219"/>
      <c r="P730" s="374"/>
      <c r="S730" s="479"/>
      <c r="T730" s="1037"/>
      <c r="U730" s="1037"/>
      <c r="V730" s="1037"/>
      <c r="W730" s="1037"/>
      <c r="X730" s="1037"/>
      <c r="Y730" s="1037"/>
    </row>
    <row r="731" spans="3:25" s="611" customFormat="1" ht="18" customHeight="1" x14ac:dyDescent="0.25">
      <c r="C731" s="687"/>
      <c r="D731" s="1092"/>
      <c r="E731" s="1095"/>
      <c r="F731" s="1096"/>
      <c r="G731" s="1095"/>
      <c r="H731" s="1096"/>
      <c r="I731" s="1099"/>
      <c r="J731" s="1100"/>
      <c r="K731" s="219"/>
      <c r="L731" s="219"/>
      <c r="M731" s="219"/>
      <c r="N731" s="219"/>
      <c r="O731" s="219"/>
      <c r="P731" s="374"/>
      <c r="S731" s="670"/>
      <c r="T731" s="670"/>
      <c r="U731" s="670"/>
      <c r="V731" s="670"/>
      <c r="W731" s="670"/>
      <c r="X731" s="670"/>
      <c r="Y731" s="670"/>
    </row>
    <row r="732" spans="3:25" s="146" customFormat="1" ht="18" customHeight="1" x14ac:dyDescent="0.25">
      <c r="C732" s="80"/>
      <c r="D732" s="1056" t="s">
        <v>19</v>
      </c>
      <c r="E732" s="1056"/>
      <c r="F732" s="1056"/>
      <c r="G732" s="1056"/>
      <c r="H732" s="1056"/>
      <c r="I732" s="1055">
        <f>SUM(I726:J731)</f>
        <v>6.6800000000000006</v>
      </c>
      <c r="J732" s="1056"/>
      <c r="K732" s="219"/>
      <c r="L732" s="219"/>
      <c r="M732" s="219"/>
      <c r="N732" s="219"/>
      <c r="O732" s="219"/>
      <c r="P732" s="374"/>
    </row>
    <row r="733" spans="3:25" s="611" customFormat="1" ht="18" customHeight="1" x14ac:dyDescent="0.25">
      <c r="C733" s="80"/>
      <c r="D733" s="809"/>
      <c r="E733" s="809"/>
      <c r="F733" s="809"/>
      <c r="G733" s="809"/>
      <c r="H733" s="809"/>
      <c r="I733" s="585"/>
      <c r="J733" s="809"/>
      <c r="K733" s="219"/>
      <c r="L733" s="219"/>
      <c r="M733" s="219"/>
      <c r="N733" s="219"/>
      <c r="O733" s="219"/>
      <c r="P733" s="374"/>
    </row>
    <row r="734" spans="3:25" s="611" customFormat="1" ht="18" customHeight="1" x14ac:dyDescent="0.25">
      <c r="C734" s="80"/>
      <c r="D734" s="809"/>
      <c r="E734" s="809"/>
      <c r="F734" s="809"/>
      <c r="G734" s="809"/>
      <c r="H734" s="809"/>
      <c r="I734" s="585"/>
      <c r="J734" s="809"/>
      <c r="K734" s="219"/>
      <c r="L734" s="219"/>
      <c r="M734" s="219"/>
      <c r="N734" s="219"/>
      <c r="O734" s="219"/>
      <c r="P734" s="374"/>
    </row>
    <row r="735" spans="3:25" s="611" customFormat="1" ht="18" customHeight="1" x14ac:dyDescent="0.25">
      <c r="C735" s="80"/>
      <c r="D735" s="809"/>
      <c r="E735" s="809"/>
      <c r="F735" s="809"/>
      <c r="G735" s="809"/>
      <c r="H735" s="809"/>
      <c r="I735" s="585"/>
      <c r="J735" s="809"/>
      <c r="K735" s="219"/>
      <c r="L735" s="219"/>
      <c r="M735" s="219"/>
      <c r="N735" s="219"/>
      <c r="O735" s="219"/>
      <c r="P735" s="374"/>
    </row>
    <row r="736" spans="3:25" s="611" customFormat="1" ht="18" customHeight="1" x14ac:dyDescent="0.25">
      <c r="C736" s="80"/>
      <c r="D736" s="809"/>
      <c r="E736" s="809"/>
      <c r="F736" s="809"/>
      <c r="G736" s="809"/>
      <c r="H736" s="809"/>
      <c r="I736" s="585"/>
      <c r="J736" s="809"/>
      <c r="K736" s="219"/>
      <c r="L736" s="219"/>
      <c r="M736" s="219"/>
      <c r="N736" s="219"/>
      <c r="O736" s="219"/>
      <c r="P736" s="374"/>
    </row>
    <row r="737" spans="2:16" s="611" customFormat="1" ht="18" customHeight="1" x14ac:dyDescent="0.25">
      <c r="C737" s="80"/>
      <c r="D737" s="809"/>
      <c r="E737" s="809"/>
      <c r="F737" s="809"/>
      <c r="G737" s="809"/>
      <c r="H737" s="809"/>
      <c r="I737" s="585"/>
      <c r="J737" s="809"/>
      <c r="K737" s="219"/>
      <c r="L737" s="219"/>
      <c r="M737" s="219"/>
      <c r="N737" s="219"/>
      <c r="O737" s="219"/>
      <c r="P737" s="374"/>
    </row>
    <row r="738" spans="2:16" s="611" customFormat="1" ht="18" customHeight="1" x14ac:dyDescent="0.25">
      <c r="C738" s="80"/>
      <c r="D738" s="809"/>
      <c r="E738" s="809"/>
      <c r="F738" s="809"/>
      <c r="G738" s="809"/>
      <c r="H738" s="809"/>
      <c r="I738" s="585"/>
      <c r="J738" s="809"/>
      <c r="K738" s="219"/>
      <c r="L738" s="219"/>
      <c r="M738" s="219"/>
      <c r="N738" s="219"/>
      <c r="O738" s="219"/>
      <c r="P738" s="374"/>
    </row>
    <row r="739" spans="2:16" s="611" customFormat="1" ht="18" customHeight="1" x14ac:dyDescent="0.25">
      <c r="C739" s="80"/>
      <c r="D739" s="809"/>
      <c r="E739" s="809"/>
      <c r="F739" s="809"/>
      <c r="G739" s="809"/>
      <c r="H739" s="809"/>
      <c r="I739" s="585"/>
      <c r="J739" s="809"/>
      <c r="K739" s="219"/>
      <c r="L739" s="219"/>
      <c r="M739" s="219"/>
      <c r="N739" s="219"/>
      <c r="O739" s="219"/>
      <c r="P739" s="374"/>
    </row>
    <row r="740" spans="2:16" s="611" customFormat="1" ht="18" customHeight="1" x14ac:dyDescent="0.25">
      <c r="C740" s="80"/>
      <c r="D740" s="809"/>
      <c r="E740" s="809"/>
      <c r="F740" s="809"/>
      <c r="G740" s="809"/>
      <c r="H740" s="809"/>
      <c r="I740" s="585"/>
      <c r="J740" s="809"/>
      <c r="K740" s="219"/>
      <c r="L740" s="219"/>
      <c r="M740" s="219"/>
      <c r="N740" s="219"/>
      <c r="O740" s="219"/>
      <c r="P740" s="374"/>
    </row>
    <row r="741" spans="2:16" s="611" customFormat="1" ht="18" customHeight="1" x14ac:dyDescent="0.25">
      <c r="C741" s="80"/>
      <c r="D741" s="809"/>
      <c r="E741" s="809"/>
      <c r="F741" s="809"/>
      <c r="G741" s="809"/>
      <c r="H741" s="809"/>
      <c r="I741" s="585"/>
      <c r="J741" s="809"/>
      <c r="K741" s="219"/>
      <c r="L741" s="219"/>
      <c r="M741" s="219"/>
      <c r="N741" s="219"/>
      <c r="O741" s="219"/>
      <c r="P741" s="374"/>
    </row>
    <row r="742" spans="2:16" s="611" customFormat="1" ht="18" customHeight="1" x14ac:dyDescent="0.25">
      <c r="C742" s="80"/>
      <c r="D742" s="809"/>
      <c r="E742" s="809"/>
      <c r="F742" s="809"/>
      <c r="G742" s="809"/>
      <c r="H742" s="809"/>
      <c r="I742" s="585"/>
      <c r="J742" s="809"/>
      <c r="K742" s="219"/>
      <c r="L742" s="219"/>
      <c r="M742" s="219"/>
      <c r="N742" s="219"/>
      <c r="O742" s="219"/>
      <c r="P742" s="374"/>
    </row>
    <row r="743" spans="2:16" s="146" customFormat="1" ht="9.9499999999999993" customHeight="1" thickBot="1" x14ac:dyDescent="0.3">
      <c r="C743" s="80"/>
      <c r="D743" s="81"/>
      <c r="E743" s="81"/>
      <c r="F743" s="81"/>
      <c r="G743" s="81"/>
      <c r="H743" s="81"/>
      <c r="I743" s="81"/>
      <c r="J743" s="81"/>
      <c r="K743" s="81"/>
      <c r="L743" s="81"/>
      <c r="M743" s="81"/>
      <c r="N743" s="81"/>
      <c r="O743" s="96"/>
      <c r="P743" s="97"/>
    </row>
    <row r="744" spans="2:16" s="146" customFormat="1" ht="18" customHeight="1" x14ac:dyDescent="0.25">
      <c r="B744" s="367" t="s">
        <v>34</v>
      </c>
      <c r="C744" s="29"/>
      <c r="D744" s="348"/>
      <c r="E744" s="30"/>
      <c r="F744" s="30"/>
      <c r="G744" s="1041" t="s">
        <v>343</v>
      </c>
      <c r="H744" s="1042"/>
      <c r="I744" s="1042"/>
      <c r="J744" s="1043"/>
      <c r="K744" s="1085">
        <f>'[27]MEMÓRIA DE CÁLCULO'!$K$721</f>
        <v>52.358199999999997</v>
      </c>
      <c r="L744" s="1086"/>
      <c r="M744" s="18"/>
      <c r="N744" s="18"/>
      <c r="O744" s="98"/>
      <c r="P744" s="99"/>
    </row>
    <row r="745" spans="2:16" s="146" customFormat="1" ht="18" customHeight="1" x14ac:dyDescent="0.25">
      <c r="B745" s="367" t="str">
        <f>C723</f>
        <v>2.6</v>
      </c>
      <c r="C745" s="29"/>
      <c r="D745" s="348"/>
      <c r="E745" s="30"/>
      <c r="F745" s="30"/>
      <c r="G745" s="1082" t="s">
        <v>344</v>
      </c>
      <c r="H745" s="1083"/>
      <c r="I745" s="1083"/>
      <c r="J745" s="1084"/>
      <c r="K745" s="1075">
        <f>K744+O723</f>
        <v>59.038199999999996</v>
      </c>
      <c r="L745" s="1076"/>
      <c r="M745" s="18"/>
      <c r="N745" s="18"/>
      <c r="O745" s="98"/>
      <c r="P745" s="99"/>
    </row>
    <row r="746" spans="2:16" s="146" customFormat="1" ht="18" customHeight="1" x14ac:dyDescent="0.25">
      <c r="C746" s="29"/>
      <c r="D746" s="30"/>
      <c r="E746" s="30"/>
      <c r="F746" s="30"/>
      <c r="G746" s="1082" t="s">
        <v>345</v>
      </c>
      <c r="H746" s="1083"/>
      <c r="I746" s="1083"/>
      <c r="J746" s="1084"/>
      <c r="K746" s="1075">
        <f>VLOOKUP(C723,'[26]BM DETALHADO'!$B$13:$E$126,4,FALSE)</f>
        <v>300</v>
      </c>
      <c r="L746" s="1076"/>
      <c r="M746" s="18"/>
      <c r="N746" s="18"/>
      <c r="O746" s="98"/>
      <c r="P746" s="99"/>
    </row>
    <row r="747" spans="2:16" s="146" customFormat="1" ht="18" customHeight="1" thickBot="1" x14ac:dyDescent="0.3">
      <c r="C747" s="29"/>
      <c r="D747" s="30"/>
      <c r="E747" s="30"/>
      <c r="F747" s="30"/>
      <c r="G747" s="1077" t="s">
        <v>346</v>
      </c>
      <c r="H747" s="1078"/>
      <c r="I747" s="1078"/>
      <c r="J747" s="1079"/>
      <c r="K747" s="1068">
        <f>K746-K745</f>
        <v>240.96180000000001</v>
      </c>
      <c r="L747" s="1069"/>
      <c r="M747" s="18"/>
      <c r="N747" s="18"/>
      <c r="O747" s="98"/>
      <c r="P747" s="99"/>
    </row>
    <row r="748" spans="2:16" s="146" customFormat="1" ht="9.9499999999999993" customHeight="1" thickBot="1" x14ac:dyDescent="0.3">
      <c r="C748" s="288"/>
      <c r="D748" s="18"/>
      <c r="E748" s="18"/>
      <c r="F748" s="18"/>
      <c r="G748" s="356"/>
      <c r="H748" s="356"/>
      <c r="I748" s="356"/>
      <c r="J748" s="356"/>
      <c r="K748" s="357"/>
      <c r="L748" s="357"/>
      <c r="M748" s="18"/>
      <c r="N748" s="18"/>
      <c r="O748" s="98"/>
      <c r="P748" s="99"/>
    </row>
    <row r="749" spans="2:16" s="146" customFormat="1" ht="18" hidden="1" customHeight="1" x14ac:dyDescent="0.25">
      <c r="C749" s="20" t="s">
        <v>34</v>
      </c>
      <c r="D749" s="1052" t="s">
        <v>35</v>
      </c>
      <c r="E749" s="1053"/>
      <c r="F749" s="1053"/>
      <c r="G749" s="1053"/>
      <c r="H749" s="1053"/>
      <c r="I749" s="1053"/>
      <c r="J749" s="1053"/>
      <c r="K749" s="1053"/>
      <c r="L749" s="1053"/>
      <c r="M749" s="1054"/>
      <c r="N749" s="327" t="s">
        <v>0</v>
      </c>
      <c r="O749" s="1107" t="s">
        <v>4</v>
      </c>
      <c r="P749" s="1108"/>
    </row>
    <row r="750" spans="2:16" s="146" customFormat="1" ht="69.95" hidden="1" customHeight="1" thickBot="1" x14ac:dyDescent="0.3">
      <c r="C750" s="85" t="s">
        <v>157</v>
      </c>
      <c r="D750" s="1070" t="str">
        <f>VLOOKUP(C750,'BM DETALHADO'!$B$13:$D$126,2,FALSE)</f>
        <v>MAPEAMENTO DESMONTAGEM DE TELHAS  PARA  DIMINUIR PESO NA ESTRUTURA-CALHAS RUFOS E TELHA, RETIRADA DE  CATALOGAÇÃO DA DISTRIBUIÇÃO DAS PEÇAS , ARMAZENAMENTO DE TELHAS E AFINS, TESTES DE RESISTENCIA  REAPROVEITAMENTO MEDIANTE REMOÇÃO,  LIMPEZA, ACONDICIONAMENTO  E RECUPERAÇÃO POSTERIOR DO TELHADO</v>
      </c>
      <c r="E750" s="1071"/>
      <c r="F750" s="1071"/>
      <c r="G750" s="1071"/>
      <c r="H750" s="1071"/>
      <c r="I750" s="1071"/>
      <c r="J750" s="1071"/>
      <c r="K750" s="1071"/>
      <c r="L750" s="1071"/>
      <c r="M750" s="1072"/>
      <c r="N750" s="19" t="str">
        <f>VLOOKUP(C750,'BM DETALHADO'!$B$13:$D$126,3,FALSE)</f>
        <v>M2</v>
      </c>
      <c r="O750" s="1109"/>
      <c r="P750" s="1110"/>
    </row>
    <row r="751" spans="2:16" s="611" customFormat="1" ht="18" hidden="1" customHeight="1" x14ac:dyDescent="0.25">
      <c r="C751" s="80"/>
      <c r="D751" s="1217"/>
      <c r="E751" s="1217"/>
      <c r="F751" s="1217"/>
      <c r="G751" s="304"/>
      <c r="H751" s="636"/>
      <c r="I751" s="832"/>
      <c r="J751" s="833"/>
      <c r="K751" s="832"/>
      <c r="L751" s="833"/>
      <c r="M751" s="679"/>
      <c r="N751" s="679"/>
      <c r="O751" s="94"/>
      <c r="P751" s="93"/>
    </row>
    <row r="752" spans="2:16" s="146" customFormat="1" ht="9.9499999999999993" hidden="1" customHeight="1" thickBot="1" x14ac:dyDescent="0.3">
      <c r="C752" s="80"/>
      <c r="D752" s="81"/>
      <c r="E752" s="81"/>
      <c r="F752" s="81"/>
      <c r="G752" s="81"/>
      <c r="H752" s="81"/>
      <c r="I752" s="81"/>
      <c r="J752" s="81"/>
      <c r="K752" s="81"/>
      <c r="L752" s="81"/>
      <c r="M752" s="81"/>
      <c r="N752" s="81"/>
      <c r="O752" s="96"/>
      <c r="P752" s="97"/>
    </row>
    <row r="753" spans="2:16" s="146" customFormat="1" ht="18" hidden="1" customHeight="1" x14ac:dyDescent="0.25">
      <c r="B753" s="31" t="s">
        <v>34</v>
      </c>
      <c r="C753" s="29"/>
      <c r="E753" s="30"/>
      <c r="F753" s="30"/>
      <c r="G753" s="1041" t="s">
        <v>343</v>
      </c>
      <c r="H753" s="1042"/>
      <c r="I753" s="1042"/>
      <c r="J753" s="1043"/>
      <c r="K753" s="1085">
        <f>'[27]MEMÓRIA DE CÁLCULO'!$K$732</f>
        <v>292.05930000000001</v>
      </c>
      <c r="L753" s="1086"/>
      <c r="M753" s="18"/>
      <c r="N753" s="18"/>
      <c r="O753" s="98"/>
      <c r="P753" s="99"/>
    </row>
    <row r="754" spans="2:16" s="146" customFormat="1" ht="18" hidden="1" customHeight="1" x14ac:dyDescent="0.25">
      <c r="B754" s="31" t="str">
        <f>C750</f>
        <v>2.7</v>
      </c>
      <c r="C754" s="29"/>
      <c r="E754" s="30"/>
      <c r="F754" s="30"/>
      <c r="G754" s="1082" t="s">
        <v>344</v>
      </c>
      <c r="H754" s="1083"/>
      <c r="I754" s="1083"/>
      <c r="J754" s="1084"/>
      <c r="K754" s="1075">
        <f>K753+O750</f>
        <v>292.05930000000001</v>
      </c>
      <c r="L754" s="1076"/>
      <c r="M754" s="18"/>
      <c r="N754" s="18"/>
      <c r="O754" s="98"/>
      <c r="P754" s="99"/>
    </row>
    <row r="755" spans="2:16" s="146" customFormat="1" ht="18" hidden="1" customHeight="1" x14ac:dyDescent="0.25">
      <c r="C755" s="29"/>
      <c r="D755" s="30"/>
      <c r="E755" s="30"/>
      <c r="F755" s="30"/>
      <c r="G755" s="1082" t="s">
        <v>345</v>
      </c>
      <c r="H755" s="1083"/>
      <c r="I755" s="1083"/>
      <c r="J755" s="1084"/>
      <c r="K755" s="1075">
        <f>'BM DETALHADO'!E57</f>
        <v>569.24</v>
      </c>
      <c r="L755" s="1076"/>
      <c r="M755" s="18"/>
      <c r="N755" s="18"/>
      <c r="O755" s="98"/>
      <c r="P755" s="99"/>
    </row>
    <row r="756" spans="2:16" s="146" customFormat="1" ht="18" hidden="1" customHeight="1" thickBot="1" x14ac:dyDescent="0.3">
      <c r="C756" s="29"/>
      <c r="D756" s="30"/>
      <c r="E756" s="30"/>
      <c r="F756" s="30"/>
      <c r="G756" s="1077" t="s">
        <v>346</v>
      </c>
      <c r="H756" s="1078"/>
      <c r="I756" s="1078"/>
      <c r="J756" s="1079"/>
      <c r="K756" s="1068">
        <f>K755-K754</f>
        <v>277.1807</v>
      </c>
      <c r="L756" s="1069"/>
      <c r="M756" s="18"/>
      <c r="N756" s="18"/>
      <c r="O756" s="98"/>
      <c r="P756" s="99"/>
    </row>
    <row r="757" spans="2:16" s="146" customFormat="1" ht="9.9499999999999993" hidden="1" customHeight="1" thickBot="1" x14ac:dyDescent="0.3">
      <c r="C757" s="21"/>
      <c r="D757" s="22"/>
      <c r="E757" s="22"/>
      <c r="F757" s="22"/>
      <c r="G757" s="360"/>
      <c r="H757" s="360"/>
      <c r="I757" s="360"/>
      <c r="J757" s="360"/>
      <c r="K757" s="361"/>
      <c r="L757" s="361"/>
      <c r="M757" s="22"/>
      <c r="N757" s="22"/>
      <c r="O757" s="100"/>
      <c r="P757" s="101"/>
    </row>
    <row r="758" spans="2:16" s="146" customFormat="1" ht="18" hidden="1" customHeight="1" x14ac:dyDescent="0.25">
      <c r="C758" s="20" t="s">
        <v>34</v>
      </c>
      <c r="D758" s="1052" t="s">
        <v>35</v>
      </c>
      <c r="E758" s="1053"/>
      <c r="F758" s="1053"/>
      <c r="G758" s="1053"/>
      <c r="H758" s="1053"/>
      <c r="I758" s="1053"/>
      <c r="J758" s="1053"/>
      <c r="K758" s="1053"/>
      <c r="L758" s="1053"/>
      <c r="M758" s="1054"/>
      <c r="N758" s="145" t="s">
        <v>0</v>
      </c>
      <c r="O758" s="1107" t="s">
        <v>4</v>
      </c>
      <c r="P758" s="1108"/>
    </row>
    <row r="759" spans="2:16" s="146" customFormat="1" ht="69.95" hidden="1" customHeight="1" thickBot="1" x14ac:dyDescent="0.3">
      <c r="C759" s="85" t="s">
        <v>159</v>
      </c>
      <c r="D759" s="1070" t="str">
        <f>VLOOKUP(C759,'BM DETALHADO'!$B$13:$D$126,2,FALSE)</f>
        <v>DESMONTAGEM DE FORROS DE ESTEIRA-REAPROVEITAMENTO MEDIANTE REMOÇÃO, LIMPEZA, ACONDICIONAMENTO  E RECUPERAÇÃO POSTERIOR, PODENDO SER GUARDADO EM TIRAS PARA EXPOSIÇÃO</v>
      </c>
      <c r="E759" s="1071"/>
      <c r="F759" s="1071"/>
      <c r="G759" s="1071"/>
      <c r="H759" s="1071"/>
      <c r="I759" s="1071"/>
      <c r="J759" s="1071"/>
      <c r="K759" s="1071"/>
      <c r="L759" s="1071"/>
      <c r="M759" s="1072"/>
      <c r="N759" s="19" t="str">
        <f>VLOOKUP(C759,'BM DETALHADO'!$B$13:$D$126,3,FALSE)</f>
        <v>M2</v>
      </c>
      <c r="O759" s="1109"/>
      <c r="P759" s="1110"/>
    </row>
    <row r="760" spans="2:16" s="146" customFormat="1" ht="9.9499999999999993" hidden="1" customHeight="1" x14ac:dyDescent="0.25">
      <c r="C760" s="77"/>
      <c r="D760" s="78"/>
      <c r="E760" s="79"/>
      <c r="F760" s="79"/>
      <c r="G760" s="79"/>
      <c r="H760" s="79"/>
      <c r="I760" s="79"/>
      <c r="J760" s="79"/>
      <c r="K760" s="79"/>
      <c r="L760" s="79"/>
      <c r="M760" s="79"/>
      <c r="N760" s="79"/>
      <c r="O760" s="91"/>
      <c r="P760" s="92"/>
    </row>
    <row r="761" spans="2:16" s="146" customFormat="1" ht="18" hidden="1" customHeight="1" x14ac:dyDescent="0.25">
      <c r="C761" s="250"/>
      <c r="D761" s="219"/>
      <c r="E761" s="219"/>
      <c r="F761" s="219"/>
      <c r="G761" s="219"/>
      <c r="H761" s="219"/>
      <c r="I761" s="219"/>
      <c r="J761" s="219"/>
      <c r="K761" s="219"/>
      <c r="L761" s="670"/>
      <c r="M761" s="670"/>
      <c r="N761" s="670"/>
      <c r="O761" s="584"/>
      <c r="P761" s="213"/>
    </row>
    <row r="762" spans="2:16" s="146" customFormat="1" ht="18" hidden="1" customHeight="1" x14ac:dyDescent="0.25">
      <c r="C762" s="250"/>
      <c r="D762" s="219"/>
      <c r="E762" s="219"/>
      <c r="F762" s="299"/>
      <c r="G762" s="299"/>
      <c r="H762" s="299"/>
      <c r="I762" s="299"/>
      <c r="J762" s="670"/>
      <c r="K762" s="211"/>
      <c r="L762" s="211"/>
      <c r="M762" s="263"/>
      <c r="N762" s="263"/>
      <c r="O762" s="214"/>
      <c r="P762" s="213"/>
    </row>
    <row r="763" spans="2:16" s="146" customFormat="1" ht="18" hidden="1" customHeight="1" x14ac:dyDescent="0.25">
      <c r="C763" s="251"/>
      <c r="D763" s="211"/>
      <c r="E763" s="211"/>
      <c r="F763" s="263"/>
      <c r="G763" s="263"/>
      <c r="H763" s="299"/>
      <c r="I763" s="299"/>
      <c r="J763" s="670"/>
      <c r="K763" s="211"/>
      <c r="L763" s="211"/>
      <c r="M763" s="263"/>
      <c r="N763" s="263"/>
      <c r="O763" s="212"/>
      <c r="P763" s="213"/>
    </row>
    <row r="764" spans="2:16" s="146" customFormat="1" ht="18" hidden="1" customHeight="1" x14ac:dyDescent="0.25">
      <c r="C764" s="251"/>
      <c r="D764" s="211"/>
      <c r="E764" s="211"/>
      <c r="F764" s="681"/>
      <c r="G764" s="681"/>
      <c r="H764" s="681"/>
      <c r="I764" s="211"/>
      <c r="J764" s="297"/>
      <c r="K764" s="297"/>
      <c r="L764" s="216"/>
      <c r="M764" s="212"/>
      <c r="N764" s="252"/>
      <c r="O764" s="252"/>
      <c r="P764" s="213"/>
    </row>
    <row r="765" spans="2:16" s="146" customFormat="1" ht="18" hidden="1" customHeight="1" x14ac:dyDescent="0.25">
      <c r="C765" s="251"/>
      <c r="D765" s="211"/>
      <c r="E765" s="211"/>
      <c r="F765" s="681"/>
      <c r="G765" s="681"/>
      <c r="H765" s="681"/>
      <c r="I765" s="211"/>
      <c r="J765" s="216"/>
      <c r="K765" s="215"/>
      <c r="L765" s="216"/>
      <c r="M765" s="212"/>
      <c r="N765" s="212"/>
      <c r="O765" s="212"/>
      <c r="P765" s="213"/>
    </row>
    <row r="766" spans="2:16" s="146" customFormat="1" ht="18" hidden="1" customHeight="1" x14ac:dyDescent="0.25">
      <c r="C766" s="251"/>
      <c r="D766" s="211"/>
      <c r="E766" s="211"/>
      <c r="F766" s="681"/>
      <c r="G766" s="681"/>
      <c r="H766" s="681"/>
      <c r="I766" s="211"/>
      <c r="J766" s="216"/>
      <c r="K766" s="215"/>
      <c r="L766" s="216"/>
      <c r="M766" s="212"/>
      <c r="N766" s="212"/>
      <c r="O766" s="212"/>
      <c r="P766" s="213"/>
    </row>
    <row r="767" spans="2:16" s="146" customFormat="1" ht="18" hidden="1" customHeight="1" x14ac:dyDescent="0.25">
      <c r="C767" s="251"/>
      <c r="D767" s="211"/>
      <c r="E767" s="211"/>
      <c r="F767" s="681"/>
      <c r="G767" s="681"/>
      <c r="H767" s="681"/>
      <c r="I767" s="211"/>
      <c r="J767" s="216"/>
      <c r="K767" s="215"/>
      <c r="L767" s="216"/>
      <c r="M767" s="212"/>
      <c r="N767" s="212"/>
      <c r="O767" s="212"/>
      <c r="P767" s="213"/>
    </row>
    <row r="768" spans="2:16" s="146" customFormat="1" ht="18" hidden="1" customHeight="1" x14ac:dyDescent="0.25">
      <c r="C768" s="237"/>
      <c r="D768" s="211"/>
      <c r="E768" s="211"/>
      <c r="F768" s="681"/>
      <c r="G768" s="681"/>
      <c r="H768" s="681"/>
      <c r="I768" s="211"/>
      <c r="J768" s="676"/>
      <c r="K768" s="676"/>
      <c r="L768" s="676"/>
      <c r="M768" s="676"/>
      <c r="N768" s="676"/>
      <c r="O768" s="214"/>
      <c r="P768" s="213"/>
    </row>
    <row r="769" spans="1:16" s="146" customFormat="1" ht="18" hidden="1" customHeight="1" x14ac:dyDescent="0.25">
      <c r="C769" s="237"/>
      <c r="D769" s="211"/>
      <c r="E769" s="211"/>
      <c r="F769" s="681"/>
      <c r="G769" s="681"/>
      <c r="H769" s="681"/>
      <c r="I769" s="211"/>
      <c r="J769" s="217"/>
      <c r="K769" s="217"/>
      <c r="L769" s="670"/>
      <c r="M769" s="218"/>
      <c r="N769" s="219"/>
      <c r="O769" s="220"/>
      <c r="P769" s="213"/>
    </row>
    <row r="770" spans="1:16" s="146" customFormat="1" ht="18" hidden="1" customHeight="1" x14ac:dyDescent="0.25">
      <c r="C770" s="237"/>
      <c r="D770" s="211"/>
      <c r="E770" s="211"/>
      <c r="F770" s="681"/>
      <c r="G770" s="681"/>
      <c r="H770" s="681"/>
      <c r="I770" s="211"/>
      <c r="J770" s="358"/>
      <c r="K770" s="358"/>
      <c r="L770" s="670"/>
      <c r="M770" s="222"/>
      <c r="N770" s="670"/>
      <c r="O770" s="220"/>
      <c r="P770" s="213"/>
    </row>
    <row r="771" spans="1:16" s="146" customFormat="1" ht="18" hidden="1" customHeight="1" x14ac:dyDescent="0.25">
      <c r="C771" s="237"/>
      <c r="D771" s="211"/>
      <c r="E771" s="211"/>
      <c r="F771" s="681"/>
      <c r="G771" s="681"/>
      <c r="H771" s="681"/>
      <c r="I771" s="211"/>
      <c r="J771" s="358"/>
      <c r="K771" s="358"/>
      <c r="L771" s="670"/>
      <c r="M771" s="222"/>
      <c r="N771" s="670"/>
      <c r="O771" s="220"/>
      <c r="P771" s="213"/>
    </row>
    <row r="772" spans="1:16" s="146" customFormat="1" ht="18" hidden="1" customHeight="1" x14ac:dyDescent="0.25">
      <c r="C772" s="237"/>
      <c r="D772" s="211"/>
      <c r="E772" s="211"/>
      <c r="F772" s="681"/>
      <c r="G772" s="681"/>
      <c r="H772" s="681"/>
      <c r="I772" s="211"/>
      <c r="J772" s="358"/>
      <c r="K772" s="358"/>
      <c r="L772" s="670"/>
      <c r="M772" s="222"/>
      <c r="N772" s="670"/>
      <c r="O772" s="220"/>
      <c r="P772" s="213"/>
    </row>
    <row r="773" spans="1:16" s="146" customFormat="1" ht="9.9499999999999993" hidden="1" customHeight="1" thickBot="1" x14ac:dyDescent="0.3">
      <c r="C773" s="80"/>
      <c r="D773" s="81"/>
      <c r="E773" s="81"/>
      <c r="F773" s="81"/>
      <c r="G773" s="81"/>
      <c r="H773" s="81"/>
      <c r="I773" s="81"/>
      <c r="J773" s="81"/>
      <c r="K773" s="81"/>
      <c r="L773" s="81"/>
      <c r="M773" s="81"/>
      <c r="N773" s="81"/>
      <c r="O773" s="96"/>
      <c r="P773" s="97"/>
    </row>
    <row r="774" spans="1:16" s="146" customFormat="1" ht="18" hidden="1" customHeight="1" x14ac:dyDescent="0.25">
      <c r="B774" s="31" t="s">
        <v>34</v>
      </c>
      <c r="C774" s="29"/>
      <c r="E774" s="30"/>
      <c r="F774" s="30"/>
      <c r="G774" s="1041" t="s">
        <v>343</v>
      </c>
      <c r="H774" s="1042"/>
      <c r="I774" s="1042"/>
      <c r="J774" s="1043"/>
      <c r="K774" s="1085">
        <f>'[25]MEMÓRIA DE CÁLCULO'!$K$817</f>
        <v>193.02</v>
      </c>
      <c r="L774" s="1086"/>
      <c r="M774" s="18"/>
      <c r="N774" s="18"/>
      <c r="O774" s="98"/>
      <c r="P774" s="99"/>
    </row>
    <row r="775" spans="1:16" s="146" customFormat="1" ht="18" hidden="1" customHeight="1" x14ac:dyDescent="0.25">
      <c r="B775" s="31" t="str">
        <f>C759</f>
        <v>2.8</v>
      </c>
      <c r="C775" s="29"/>
      <c r="E775" s="30"/>
      <c r="F775" s="30"/>
      <c r="G775" s="1082" t="s">
        <v>344</v>
      </c>
      <c r="H775" s="1083"/>
      <c r="I775" s="1083"/>
      <c r="J775" s="1084"/>
      <c r="K775" s="1075">
        <f>K774+O759</f>
        <v>193.02</v>
      </c>
      <c r="L775" s="1076"/>
      <c r="M775" s="18"/>
      <c r="N775" s="18"/>
      <c r="O775" s="98"/>
      <c r="P775" s="99"/>
    </row>
    <row r="776" spans="1:16" s="146" customFormat="1" ht="18" hidden="1" customHeight="1" x14ac:dyDescent="0.25">
      <c r="C776" s="29"/>
      <c r="D776" s="30"/>
      <c r="E776" s="30"/>
      <c r="F776" s="30"/>
      <c r="G776" s="1082" t="s">
        <v>345</v>
      </c>
      <c r="H776" s="1083"/>
      <c r="I776" s="1083"/>
      <c r="J776" s="1084"/>
      <c r="K776" s="1075">
        <f>'BM DETALHADO'!E58</f>
        <v>419.93</v>
      </c>
      <c r="L776" s="1076"/>
      <c r="M776" s="18"/>
      <c r="N776" s="18"/>
      <c r="O776" s="98"/>
      <c r="P776" s="99"/>
    </row>
    <row r="777" spans="1:16" s="146" customFormat="1" ht="18" hidden="1" customHeight="1" thickBot="1" x14ac:dyDescent="0.3">
      <c r="C777" s="29"/>
      <c r="D777" s="30"/>
      <c r="E777" s="30"/>
      <c r="F777" s="30"/>
      <c r="G777" s="1077" t="s">
        <v>346</v>
      </c>
      <c r="H777" s="1078"/>
      <c r="I777" s="1078"/>
      <c r="J777" s="1079"/>
      <c r="K777" s="1068">
        <f>K776-K775</f>
        <v>226.91</v>
      </c>
      <c r="L777" s="1069"/>
      <c r="M777" s="18"/>
      <c r="N777" s="18"/>
      <c r="O777" s="98"/>
      <c r="P777" s="99"/>
    </row>
    <row r="778" spans="1:16" s="146" customFormat="1" ht="9.9499999999999993" hidden="1" customHeight="1" thickBot="1" x14ac:dyDescent="0.3">
      <c r="C778" s="21"/>
      <c r="D778" s="22"/>
      <c r="E778" s="22"/>
      <c r="F778" s="22"/>
      <c r="G778" s="27"/>
      <c r="H778" s="27"/>
      <c r="I778" s="27"/>
      <c r="J778" s="27"/>
      <c r="K778" s="28"/>
      <c r="L778" s="28"/>
      <c r="M778" s="22"/>
      <c r="N778" s="22"/>
      <c r="O778" s="100"/>
      <c r="P778" s="101"/>
    </row>
    <row r="779" spans="1:16" s="146" customFormat="1" ht="18" hidden="1" customHeight="1" x14ac:dyDescent="0.25">
      <c r="A779" s="146" cm="1">
        <f t="array" aca="1" ref="A779" ca="1">779:799</f>
        <v>0</v>
      </c>
      <c r="C779" s="20" t="s">
        <v>34</v>
      </c>
      <c r="D779" s="1052" t="s">
        <v>35</v>
      </c>
      <c r="E779" s="1053"/>
      <c r="F779" s="1053"/>
      <c r="G779" s="1053"/>
      <c r="H779" s="1053"/>
      <c r="I779" s="1053"/>
      <c r="J779" s="1053"/>
      <c r="K779" s="1053"/>
      <c r="L779" s="1053"/>
      <c r="M779" s="1054"/>
      <c r="N779" s="145" t="s">
        <v>0</v>
      </c>
      <c r="O779" s="1107" t="s">
        <v>4</v>
      </c>
      <c r="P779" s="1108"/>
    </row>
    <row r="780" spans="1:16" s="146" customFormat="1" ht="69.95" hidden="1" customHeight="1" thickBot="1" x14ac:dyDescent="0.3">
      <c r="C780" s="85" t="s">
        <v>161</v>
      </c>
      <c r="D780" s="1070" t="str">
        <f>VLOOKUP(C780,'BM DETALHADO'!$B$13:$D$126,2,FALSE)</f>
        <v>MAPEAMENTO DO PORTÃO DA RUA SERRO, REMOÇÃO DAS PEÇAS  , IMUNIZAÇÃO, ACONDICIONAMENTO, RESTAURAÇÃO</v>
      </c>
      <c r="E780" s="1071"/>
      <c r="F780" s="1071"/>
      <c r="G780" s="1071"/>
      <c r="H780" s="1071"/>
      <c r="I780" s="1071"/>
      <c r="J780" s="1071"/>
      <c r="K780" s="1071"/>
      <c r="L780" s="1071"/>
      <c r="M780" s="1072"/>
      <c r="N780" s="19" t="str">
        <f>VLOOKUP(C780,'BM DETALHADO'!$B$13:$D$126,3,FALSE)</f>
        <v>UNID</v>
      </c>
      <c r="O780" s="1109"/>
      <c r="P780" s="1110"/>
    </row>
    <row r="781" spans="1:16" s="146" customFormat="1" ht="9.9499999999999993" hidden="1" customHeight="1" x14ac:dyDescent="0.25">
      <c r="C781" s="77"/>
      <c r="D781" s="78"/>
      <c r="E781" s="79"/>
      <c r="F781" s="79"/>
      <c r="G781" s="79"/>
      <c r="H781" s="79"/>
      <c r="I781" s="79"/>
      <c r="J781" s="79"/>
      <c r="K781" s="79"/>
      <c r="L781" s="79"/>
      <c r="M781" s="79"/>
      <c r="N781" s="79"/>
      <c r="O781" s="91"/>
      <c r="P781" s="92"/>
    </row>
    <row r="782" spans="1:16" s="146" customFormat="1" ht="18" hidden="1" customHeight="1" x14ac:dyDescent="0.25">
      <c r="C782" s="336"/>
      <c r="D782" s="81"/>
      <c r="E782" s="81"/>
      <c r="F782" s="81"/>
      <c r="G782" s="81"/>
      <c r="H782" s="330"/>
      <c r="I782" s="344"/>
      <c r="J782" s="339"/>
      <c r="K782" s="344"/>
      <c r="L782" s="339"/>
      <c r="M782" s="169"/>
      <c r="N782" s="169"/>
      <c r="O782" s="343"/>
      <c r="P782" s="93"/>
    </row>
    <row r="783" spans="1:16" s="146" customFormat="1" ht="18" hidden="1" customHeight="1" x14ac:dyDescent="0.25">
      <c r="C783" s="336"/>
      <c r="D783" s="333"/>
      <c r="E783" s="333"/>
      <c r="F783" s="333"/>
      <c r="G783" s="333"/>
      <c r="H783" s="330"/>
      <c r="I783" s="330"/>
      <c r="J783" s="330"/>
      <c r="K783" s="330"/>
      <c r="L783" s="330"/>
      <c r="M783" s="330"/>
      <c r="N783" s="330"/>
      <c r="O783" s="94"/>
      <c r="P783" s="93"/>
    </row>
    <row r="784" spans="1:16" s="146" customFormat="1" ht="18" hidden="1" customHeight="1" x14ac:dyDescent="0.25">
      <c r="C784" s="202"/>
      <c r="D784" s="81"/>
      <c r="E784" s="81"/>
      <c r="F784" s="81"/>
      <c r="G784" s="81"/>
      <c r="H784" s="81"/>
      <c r="I784" s="167"/>
      <c r="J784" s="168"/>
      <c r="K784" s="167"/>
      <c r="L784" s="168"/>
      <c r="M784" s="169"/>
      <c r="N784" s="169"/>
      <c r="O784" s="169"/>
      <c r="P784" s="93"/>
    </row>
    <row r="785" spans="2:16" s="146" customFormat="1" ht="18" hidden="1" customHeight="1" x14ac:dyDescent="0.25">
      <c r="C785" s="202"/>
      <c r="D785" s="81"/>
      <c r="E785" s="81"/>
      <c r="F785" s="81"/>
      <c r="G785" s="81"/>
      <c r="H785" s="81"/>
      <c r="I785" s="167"/>
      <c r="J785" s="168"/>
      <c r="K785" s="167"/>
      <c r="L785" s="168"/>
      <c r="M785" s="169"/>
      <c r="N785" s="169"/>
      <c r="O785" s="169"/>
      <c r="P785" s="93"/>
    </row>
    <row r="786" spans="2:16" s="146" customFormat="1" ht="18" hidden="1" customHeight="1" x14ac:dyDescent="0.25">
      <c r="C786" s="202"/>
      <c r="D786" s="81"/>
      <c r="E786" s="81"/>
      <c r="F786" s="81"/>
      <c r="G786" s="81"/>
      <c r="H786" s="81"/>
      <c r="I786" s="167"/>
      <c r="J786" s="168"/>
      <c r="K786" s="167"/>
      <c r="L786" s="168"/>
      <c r="M786" s="169"/>
      <c r="N786" s="169"/>
      <c r="O786" s="169"/>
      <c r="P786" s="93"/>
    </row>
    <row r="787" spans="2:16" s="146" customFormat="1" ht="18" hidden="1" customHeight="1" x14ac:dyDescent="0.25">
      <c r="C787" s="202"/>
      <c r="D787" s="81"/>
      <c r="E787" s="81"/>
      <c r="F787" s="81"/>
      <c r="G787" s="81"/>
      <c r="H787" s="81"/>
      <c r="I787" s="167"/>
      <c r="J787" s="168"/>
      <c r="K787" s="167"/>
      <c r="L787" s="168"/>
      <c r="M787" s="169"/>
      <c r="N787" s="169"/>
      <c r="O787" s="169"/>
      <c r="P787" s="93"/>
    </row>
    <row r="788" spans="2:16" s="146" customFormat="1" ht="18" hidden="1" customHeight="1" x14ac:dyDescent="0.25">
      <c r="C788" s="202"/>
      <c r="D788" s="81"/>
      <c r="E788" s="81"/>
      <c r="F788" s="81"/>
      <c r="G788" s="81"/>
      <c r="H788" s="81"/>
      <c r="I788" s="167"/>
      <c r="J788" s="168"/>
      <c r="K788" s="167"/>
      <c r="L788" s="168"/>
      <c r="M788" s="169"/>
      <c r="N788" s="169"/>
      <c r="O788" s="169"/>
      <c r="P788" s="93"/>
    </row>
    <row r="789" spans="2:16" s="146" customFormat="1" ht="18" hidden="1" customHeight="1" x14ac:dyDescent="0.25">
      <c r="C789" s="80"/>
      <c r="D789" s="81"/>
      <c r="E789" s="330"/>
      <c r="F789" s="330"/>
      <c r="G789" s="330"/>
      <c r="H789" s="330"/>
      <c r="I789" s="330"/>
      <c r="J789" s="330"/>
      <c r="K789" s="330"/>
      <c r="L789" s="330"/>
      <c r="M789" s="330"/>
      <c r="N789" s="330"/>
      <c r="O789" s="94"/>
      <c r="P789" s="93"/>
    </row>
    <row r="790" spans="2:16" s="146" customFormat="1" ht="18" hidden="1" customHeight="1" x14ac:dyDescent="0.25">
      <c r="C790" s="80"/>
      <c r="D790" s="180"/>
      <c r="E790" s="180"/>
      <c r="F790" s="180"/>
      <c r="G790" s="180"/>
      <c r="H790" s="180"/>
      <c r="I790" s="180"/>
      <c r="J790" s="180"/>
      <c r="K790" s="180"/>
      <c r="L790" s="328"/>
      <c r="M790" s="181"/>
      <c r="N790" s="182"/>
      <c r="O790" s="95"/>
      <c r="P790" s="93"/>
    </row>
    <row r="791" spans="2:16" s="146" customFormat="1" ht="18" hidden="1" customHeight="1" x14ac:dyDescent="0.25">
      <c r="C791" s="80"/>
      <c r="D791" s="331"/>
      <c r="E791" s="331"/>
      <c r="F791" s="331"/>
      <c r="G791" s="331"/>
      <c r="H791" s="331"/>
      <c r="I791" s="331"/>
      <c r="J791" s="331"/>
      <c r="K791" s="331"/>
      <c r="L791" s="328"/>
      <c r="M791" s="332"/>
      <c r="N791" s="328"/>
      <c r="O791" s="95"/>
      <c r="P791" s="93"/>
    </row>
    <row r="792" spans="2:16" s="146" customFormat="1" ht="18" hidden="1" customHeight="1" x14ac:dyDescent="0.25">
      <c r="C792" s="80"/>
      <c r="D792" s="331"/>
      <c r="E792" s="331"/>
      <c r="F792" s="331"/>
      <c r="G792" s="331"/>
      <c r="H792" s="331"/>
      <c r="I792" s="331"/>
      <c r="J792" s="331"/>
      <c r="K792" s="331"/>
      <c r="L792" s="328"/>
      <c r="M792" s="332"/>
      <c r="N792" s="328"/>
      <c r="O792" s="95"/>
      <c r="P792" s="93"/>
    </row>
    <row r="793" spans="2:16" s="146" customFormat="1" ht="18" hidden="1" customHeight="1" x14ac:dyDescent="0.25">
      <c r="C793" s="80"/>
      <c r="D793" s="331"/>
      <c r="E793" s="331"/>
      <c r="F793" s="331"/>
      <c r="G793" s="331"/>
      <c r="H793" s="331"/>
      <c r="I793" s="331"/>
      <c r="J793" s="331"/>
      <c r="K793" s="331"/>
      <c r="L793" s="328"/>
      <c r="M793" s="332"/>
      <c r="N793" s="328"/>
      <c r="O793" s="95"/>
      <c r="P793" s="93"/>
    </row>
    <row r="794" spans="2:16" s="146" customFormat="1" ht="9.9499999999999993" hidden="1" customHeight="1" thickBot="1" x14ac:dyDescent="0.3">
      <c r="C794" s="80"/>
      <c r="D794" s="81"/>
      <c r="E794" s="81"/>
      <c r="F794" s="81"/>
      <c r="G794" s="81"/>
      <c r="H794" s="81"/>
      <c r="I794" s="81"/>
      <c r="J794" s="81"/>
      <c r="K794" s="81"/>
      <c r="L794" s="81"/>
      <c r="M794" s="81"/>
      <c r="N794" s="81"/>
      <c r="O794" s="96"/>
      <c r="P794" s="97"/>
    </row>
    <row r="795" spans="2:16" s="146" customFormat="1" ht="18" hidden="1" customHeight="1" x14ac:dyDescent="0.25">
      <c r="B795" s="31" t="s">
        <v>34</v>
      </c>
      <c r="C795" s="29"/>
      <c r="E795" s="30"/>
      <c r="F795" s="30"/>
      <c r="G795" s="1041" t="s">
        <v>343</v>
      </c>
      <c r="H795" s="1042"/>
      <c r="I795" s="1042"/>
      <c r="J795" s="1043"/>
      <c r="K795" s="1085">
        <f>'[25]MEMÓRIA DE CÁLCULO'!$K$838</f>
        <v>0</v>
      </c>
      <c r="L795" s="1086"/>
      <c r="M795" s="18"/>
      <c r="N795" s="18"/>
      <c r="O795" s="98"/>
      <c r="P795" s="99"/>
    </row>
    <row r="796" spans="2:16" s="146" customFormat="1" ht="18" hidden="1" customHeight="1" x14ac:dyDescent="0.25">
      <c r="B796" s="31" t="str">
        <f>C780</f>
        <v>2.9</v>
      </c>
      <c r="C796" s="29"/>
      <c r="E796" s="30"/>
      <c r="F796" s="30"/>
      <c r="G796" s="1082" t="s">
        <v>344</v>
      </c>
      <c r="H796" s="1083"/>
      <c r="I796" s="1083"/>
      <c r="J796" s="1084"/>
      <c r="K796" s="1075">
        <f>K795+O780</f>
        <v>0</v>
      </c>
      <c r="L796" s="1076"/>
      <c r="M796" s="18"/>
      <c r="N796" s="18"/>
      <c r="O796" s="98"/>
      <c r="P796" s="99"/>
    </row>
    <row r="797" spans="2:16" s="146" customFormat="1" ht="18" hidden="1" customHeight="1" x14ac:dyDescent="0.25">
      <c r="C797" s="29"/>
      <c r="D797" s="30"/>
      <c r="E797" s="30"/>
      <c r="F797" s="30"/>
      <c r="G797" s="1082" t="s">
        <v>345</v>
      </c>
      <c r="H797" s="1083"/>
      <c r="I797" s="1083"/>
      <c r="J797" s="1084"/>
      <c r="K797" s="1075">
        <f>'BM DETALHADO'!E59</f>
        <v>1</v>
      </c>
      <c r="L797" s="1076"/>
      <c r="M797" s="18"/>
      <c r="N797" s="18"/>
      <c r="O797" s="98"/>
      <c r="P797" s="99"/>
    </row>
    <row r="798" spans="2:16" s="146" customFormat="1" ht="18" hidden="1" customHeight="1" thickBot="1" x14ac:dyDescent="0.3">
      <c r="C798" s="29"/>
      <c r="D798" s="30"/>
      <c r="E798" s="30"/>
      <c r="F798" s="30"/>
      <c r="G798" s="1077" t="s">
        <v>346</v>
      </c>
      <c r="H798" s="1078"/>
      <c r="I798" s="1078"/>
      <c r="J798" s="1079"/>
      <c r="K798" s="1068">
        <f>K797-K796</f>
        <v>1</v>
      </c>
      <c r="L798" s="1069"/>
      <c r="M798" s="18"/>
      <c r="N798" s="18"/>
      <c r="O798" s="98"/>
      <c r="P798" s="99"/>
    </row>
    <row r="799" spans="2:16" s="146" customFormat="1" ht="9.9499999999999993" hidden="1" customHeight="1" thickBot="1" x14ac:dyDescent="0.3">
      <c r="C799" s="21"/>
      <c r="D799" s="22"/>
      <c r="E799" s="22"/>
      <c r="F799" s="22"/>
      <c r="G799" s="360"/>
      <c r="H799" s="360"/>
      <c r="I799" s="360"/>
      <c r="J799" s="360"/>
      <c r="K799" s="361"/>
      <c r="L799" s="361"/>
      <c r="M799" s="22"/>
      <c r="N799" s="22"/>
      <c r="O799" s="100"/>
      <c r="P799" s="101"/>
    </row>
    <row r="800" spans="2:16" s="146" customFormat="1" ht="18" customHeight="1" x14ac:dyDescent="0.25">
      <c r="C800" s="20" t="s">
        <v>34</v>
      </c>
      <c r="D800" s="1052" t="s">
        <v>35</v>
      </c>
      <c r="E800" s="1053"/>
      <c r="F800" s="1053"/>
      <c r="G800" s="1053"/>
      <c r="H800" s="1053"/>
      <c r="I800" s="1053"/>
      <c r="J800" s="1053"/>
      <c r="K800" s="1053"/>
      <c r="L800" s="1053"/>
      <c r="M800" s="1054"/>
      <c r="N800" s="145" t="s">
        <v>0</v>
      </c>
      <c r="O800" s="1107" t="s">
        <v>4</v>
      </c>
      <c r="P800" s="1108"/>
    </row>
    <row r="801" spans="2:16" s="146" customFormat="1" ht="69.95" customHeight="1" thickBot="1" x14ac:dyDescent="0.3">
      <c r="C801" s="85" t="s">
        <v>163</v>
      </c>
      <c r="D801" s="1070" t="str">
        <f>VLOOKUP(C801,'BM DETALHADO'!$B$13:$D$126,2,FALSE)</f>
        <v>DEMOLIÇÃO DE PARTE DO MURO JÁ PREVISTO EM PROJETO, PARA LIBERAÇÃO DE ENTRADA DE EQUIPAMENTOS</v>
      </c>
      <c r="E801" s="1071"/>
      <c r="F801" s="1071"/>
      <c r="G801" s="1071"/>
      <c r="H801" s="1071"/>
      <c r="I801" s="1071"/>
      <c r="J801" s="1071"/>
      <c r="K801" s="1071"/>
      <c r="L801" s="1071"/>
      <c r="M801" s="1072"/>
      <c r="N801" s="19" t="str">
        <f>VLOOKUP(C801,'BM DETALHADO'!$B$13:$D$126,3,FALSE)</f>
        <v>M2</v>
      </c>
      <c r="O801" s="1109">
        <f>F804</f>
        <v>2.4</v>
      </c>
      <c r="P801" s="1110"/>
    </row>
    <row r="802" spans="2:16" s="146" customFormat="1" ht="9.9499999999999993" customHeight="1" x14ac:dyDescent="0.25">
      <c r="C802" s="77"/>
      <c r="D802" s="78"/>
      <c r="E802" s="79"/>
      <c r="F802" s="79"/>
      <c r="G802" s="79"/>
      <c r="H802" s="79"/>
      <c r="I802" s="79"/>
      <c r="J802" s="79"/>
      <c r="K802" s="79"/>
      <c r="L802" s="79"/>
      <c r="M802" s="79"/>
      <c r="N802" s="79"/>
      <c r="O802" s="91"/>
      <c r="P802" s="92"/>
    </row>
    <row r="803" spans="2:16" s="146" customFormat="1" ht="18" customHeight="1" x14ac:dyDescent="0.25">
      <c r="C803" s="336"/>
      <c r="D803" s="211" t="s">
        <v>389</v>
      </c>
      <c r="E803" s="211" t="s">
        <v>339</v>
      </c>
      <c r="F803" s="211" t="s">
        <v>291</v>
      </c>
      <c r="G803" s="211" t="s">
        <v>106</v>
      </c>
      <c r="H803" s="330"/>
      <c r="I803" s="344"/>
      <c r="J803" s="339"/>
      <c r="K803" s="344"/>
      <c r="L803" s="339"/>
      <c r="M803" s="169"/>
      <c r="N803" s="169"/>
      <c r="O803" s="343"/>
      <c r="P803" s="93"/>
    </row>
    <row r="804" spans="2:16" s="146" customFormat="1" ht="18" customHeight="1" x14ac:dyDescent="0.25">
      <c r="C804" s="834"/>
      <c r="D804" s="345">
        <v>2</v>
      </c>
      <c r="E804" s="345">
        <v>1.2</v>
      </c>
      <c r="F804" s="204">
        <f>D804*E804</f>
        <v>2.4</v>
      </c>
      <c r="G804" s="809" t="s">
        <v>292</v>
      </c>
      <c r="H804" s="330"/>
      <c r="I804" s="330"/>
      <c r="J804" s="330"/>
      <c r="K804" s="330"/>
      <c r="L804" s="330"/>
      <c r="M804" s="330"/>
      <c r="N804" s="330"/>
      <c r="O804" s="94"/>
      <c r="P804" s="93"/>
    </row>
    <row r="805" spans="2:16" s="146" customFormat="1" ht="9.9499999999999993" customHeight="1" thickBot="1" x14ac:dyDescent="0.3">
      <c r="C805" s="80"/>
      <c r="D805" s="81"/>
      <c r="E805" s="81"/>
      <c r="F805" s="81"/>
      <c r="G805" s="81"/>
      <c r="H805" s="81"/>
      <c r="I805" s="81"/>
      <c r="J805" s="81"/>
      <c r="K805" s="81"/>
      <c r="L805" s="81"/>
      <c r="M805" s="81"/>
      <c r="N805" s="81"/>
      <c r="O805" s="96"/>
      <c r="P805" s="97"/>
    </row>
    <row r="806" spans="2:16" s="146" customFormat="1" ht="18" customHeight="1" x14ac:dyDescent="0.25">
      <c r="B806" s="31" t="s">
        <v>34</v>
      </c>
      <c r="C806" s="29"/>
      <c r="E806" s="30"/>
      <c r="F806" s="30"/>
      <c r="G806" s="1041" t="s">
        <v>343</v>
      </c>
      <c r="H806" s="1042"/>
      <c r="I806" s="1042"/>
      <c r="J806" s="1043"/>
      <c r="K806" s="1085">
        <v>0</v>
      </c>
      <c r="L806" s="1086"/>
      <c r="M806" s="18"/>
      <c r="N806" s="18"/>
      <c r="O806" s="98"/>
      <c r="P806" s="99"/>
    </row>
    <row r="807" spans="2:16" s="146" customFormat="1" ht="18" customHeight="1" x14ac:dyDescent="0.25">
      <c r="B807" s="31" t="str">
        <f>C801</f>
        <v>2.10</v>
      </c>
      <c r="C807" s="29"/>
      <c r="E807" s="30"/>
      <c r="F807" s="30"/>
      <c r="G807" s="1082" t="s">
        <v>344</v>
      </c>
      <c r="H807" s="1083"/>
      <c r="I807" s="1083"/>
      <c r="J807" s="1084"/>
      <c r="K807" s="1075">
        <f>K806+O801</f>
        <v>2.4</v>
      </c>
      <c r="L807" s="1076"/>
      <c r="M807" s="18"/>
      <c r="N807" s="18"/>
      <c r="O807" s="98"/>
      <c r="P807" s="99"/>
    </row>
    <row r="808" spans="2:16" s="146" customFormat="1" ht="18" customHeight="1" x14ac:dyDescent="0.25">
      <c r="C808" s="29"/>
      <c r="D808" s="30"/>
      <c r="E808" s="30"/>
      <c r="F808" s="30"/>
      <c r="G808" s="1082" t="s">
        <v>345</v>
      </c>
      <c r="H808" s="1083"/>
      <c r="I808" s="1083"/>
      <c r="J808" s="1084"/>
      <c r="K808" s="1075">
        <f>'BM DETALHADO'!E60</f>
        <v>15</v>
      </c>
      <c r="L808" s="1076"/>
      <c r="M808" s="18"/>
      <c r="N808" s="18"/>
      <c r="O808" s="98"/>
      <c r="P808" s="99"/>
    </row>
    <row r="809" spans="2:16" s="146" customFormat="1" ht="18" customHeight="1" thickBot="1" x14ac:dyDescent="0.3">
      <c r="C809" s="29"/>
      <c r="D809" s="30"/>
      <c r="E809" s="30"/>
      <c r="F809" s="30"/>
      <c r="G809" s="1077" t="s">
        <v>346</v>
      </c>
      <c r="H809" s="1078"/>
      <c r="I809" s="1078"/>
      <c r="J809" s="1079"/>
      <c r="K809" s="1068">
        <f>K808-K807</f>
        <v>12.6</v>
      </c>
      <c r="L809" s="1069"/>
      <c r="M809" s="18"/>
      <c r="N809" s="18"/>
      <c r="O809" s="98"/>
      <c r="P809" s="99"/>
    </row>
    <row r="810" spans="2:16" s="146" customFormat="1" ht="9.9499999999999993" customHeight="1" thickBot="1" x14ac:dyDescent="0.3">
      <c r="C810" s="21"/>
      <c r="D810" s="22"/>
      <c r="E810" s="22"/>
      <c r="F810" s="22"/>
      <c r="G810" s="360"/>
      <c r="H810" s="360"/>
      <c r="I810" s="360"/>
      <c r="J810" s="360"/>
      <c r="K810" s="361"/>
      <c r="L810" s="361"/>
      <c r="M810" s="22"/>
      <c r="N810" s="22"/>
      <c r="O810" s="100"/>
      <c r="P810" s="101"/>
    </row>
    <row r="811" spans="2:16" s="146" customFormat="1" ht="18" hidden="1" customHeight="1" x14ac:dyDescent="0.25">
      <c r="C811" s="20" t="s">
        <v>34</v>
      </c>
      <c r="D811" s="1052" t="s">
        <v>35</v>
      </c>
      <c r="E811" s="1053"/>
      <c r="F811" s="1053"/>
      <c r="G811" s="1053"/>
      <c r="H811" s="1053"/>
      <c r="I811" s="1053"/>
      <c r="J811" s="1053"/>
      <c r="K811" s="1053"/>
      <c r="L811" s="1053"/>
      <c r="M811" s="1054"/>
      <c r="N811" s="145" t="s">
        <v>0</v>
      </c>
      <c r="O811" s="1107" t="s">
        <v>4</v>
      </c>
      <c r="P811" s="1108"/>
    </row>
    <row r="812" spans="2:16" s="146" customFormat="1" ht="69.95" hidden="1" customHeight="1" thickBot="1" x14ac:dyDescent="0.3">
      <c r="C812" s="85" t="s">
        <v>165</v>
      </c>
      <c r="D812" s="1070" t="str">
        <f>VLOOKUP(C812,'BM DETALHADO'!$B$13:$D$126,2,FALSE)</f>
        <v>DE REVESTIMENTO ASFALTICO COM EQUIP. PNEUMATICO</v>
      </c>
      <c r="E812" s="1071"/>
      <c r="F812" s="1071"/>
      <c r="G812" s="1071"/>
      <c r="H812" s="1071"/>
      <c r="I812" s="1071"/>
      <c r="J812" s="1071"/>
      <c r="K812" s="1071"/>
      <c r="L812" s="1071"/>
      <c r="M812" s="1072"/>
      <c r="N812" s="19" t="str">
        <f>VLOOKUP(C812,'BM DETALHADO'!$B$13:$D$126,3,FALSE)</f>
        <v>M3</v>
      </c>
      <c r="O812" s="1109"/>
      <c r="P812" s="1110"/>
    </row>
    <row r="813" spans="2:16" s="146" customFormat="1" ht="9.9499999999999993" hidden="1" customHeight="1" x14ac:dyDescent="0.25">
      <c r="C813" s="77"/>
      <c r="D813" s="78"/>
      <c r="E813" s="79"/>
      <c r="F813" s="79"/>
      <c r="G813" s="79"/>
      <c r="H813" s="79"/>
      <c r="I813" s="79"/>
      <c r="J813" s="79"/>
      <c r="K813" s="79"/>
      <c r="L813" s="79"/>
      <c r="M813" s="79"/>
      <c r="N813" s="79"/>
      <c r="O813" s="91"/>
      <c r="P813" s="92"/>
    </row>
    <row r="814" spans="2:16" s="146" customFormat="1" ht="18" hidden="1" customHeight="1" x14ac:dyDescent="0.25">
      <c r="C814" s="336"/>
      <c r="D814" s="211"/>
      <c r="E814" s="211"/>
      <c r="F814" s="211"/>
      <c r="G814" s="335"/>
      <c r="H814" s="253"/>
      <c r="I814" s="350"/>
      <c r="J814" s="339"/>
      <c r="K814" s="344"/>
      <c r="L814" s="339"/>
      <c r="M814" s="169"/>
      <c r="N814" s="169"/>
      <c r="O814" s="343"/>
      <c r="P814" s="93"/>
    </row>
    <row r="815" spans="2:16" s="146" customFormat="1" ht="18" hidden="1" customHeight="1" x14ac:dyDescent="0.25">
      <c r="C815" s="336"/>
      <c r="D815" s="211"/>
      <c r="E815" s="211"/>
      <c r="F815" s="211"/>
      <c r="G815" s="211"/>
      <c r="H815" s="263"/>
      <c r="I815" s="211"/>
      <c r="J815" s="330"/>
      <c r="K815" s="330"/>
      <c r="L815" s="330"/>
      <c r="M815" s="330"/>
      <c r="N815" s="330"/>
      <c r="O815" s="94"/>
      <c r="P815" s="93"/>
    </row>
    <row r="816" spans="2:16" s="146" customFormat="1" ht="18" hidden="1" customHeight="1" x14ac:dyDescent="0.25">
      <c r="C816" s="202"/>
      <c r="D816" s="211"/>
      <c r="E816" s="211"/>
      <c r="F816" s="211"/>
      <c r="G816" s="211"/>
      <c r="H816" s="263"/>
      <c r="I816" s="211"/>
      <c r="J816" s="168"/>
      <c r="K816" s="167"/>
      <c r="L816" s="168"/>
      <c r="M816" s="169"/>
      <c r="N816" s="169"/>
      <c r="O816" s="169"/>
      <c r="P816" s="93"/>
    </row>
    <row r="817" spans="2:16" s="146" customFormat="1" ht="18" hidden="1" customHeight="1" x14ac:dyDescent="0.25">
      <c r="C817" s="202"/>
      <c r="D817" s="211"/>
      <c r="E817" s="211"/>
      <c r="F817" s="211"/>
      <c r="G817" s="335"/>
      <c r="H817" s="342"/>
      <c r="I817" s="350"/>
      <c r="J817" s="168"/>
      <c r="K817" s="167"/>
      <c r="L817" s="168"/>
      <c r="M817" s="169"/>
      <c r="N817" s="169"/>
      <c r="O817" s="169"/>
      <c r="P817" s="93"/>
    </row>
    <row r="818" spans="2:16" s="146" customFormat="1" ht="18" hidden="1" customHeight="1" x14ac:dyDescent="0.25">
      <c r="C818" s="202"/>
      <c r="D818" s="211"/>
      <c r="E818" s="211"/>
      <c r="F818" s="211"/>
      <c r="G818" s="211"/>
      <c r="H818" s="192"/>
      <c r="I818" s="215"/>
      <c r="J818" s="168"/>
      <c r="K818" s="167"/>
      <c r="L818" s="168"/>
      <c r="M818" s="169"/>
      <c r="N818" s="169"/>
      <c r="O818" s="169"/>
      <c r="P818" s="93"/>
    </row>
    <row r="819" spans="2:16" s="146" customFormat="1" ht="18" hidden="1" customHeight="1" x14ac:dyDescent="0.25">
      <c r="C819" s="202"/>
      <c r="D819" s="211"/>
      <c r="E819" s="211"/>
      <c r="F819" s="211"/>
      <c r="G819" s="211"/>
      <c r="H819" s="192"/>
      <c r="I819" s="215"/>
      <c r="J819" s="168"/>
      <c r="K819" s="167"/>
      <c r="L819" s="168"/>
      <c r="M819" s="169"/>
      <c r="N819" s="169"/>
      <c r="O819" s="169"/>
      <c r="P819" s="93"/>
    </row>
    <row r="820" spans="2:16" s="146" customFormat="1" ht="18" hidden="1" customHeight="1" x14ac:dyDescent="0.25">
      <c r="C820" s="202"/>
      <c r="D820" s="219"/>
      <c r="E820" s="219"/>
      <c r="F820" s="219"/>
      <c r="G820" s="182"/>
      <c r="H820" s="182"/>
      <c r="I820" s="347"/>
      <c r="J820" s="168"/>
      <c r="K820" s="167"/>
      <c r="L820" s="168"/>
      <c r="M820" s="169"/>
      <c r="N820" s="169"/>
      <c r="O820" s="169"/>
      <c r="P820" s="93"/>
    </row>
    <row r="821" spans="2:16" s="146" customFormat="1" ht="18" hidden="1" customHeight="1" x14ac:dyDescent="0.25">
      <c r="C821" s="80"/>
      <c r="D821" s="81"/>
      <c r="E821" s="330"/>
      <c r="F821" s="330"/>
      <c r="G821" s="330"/>
      <c r="H821" s="330"/>
      <c r="I821" s="330"/>
      <c r="J821" s="330"/>
      <c r="K821" s="330"/>
      <c r="L821" s="330"/>
      <c r="M821" s="330"/>
      <c r="N821" s="330"/>
      <c r="O821" s="94"/>
      <c r="P821" s="93"/>
    </row>
    <row r="822" spans="2:16" s="146" customFormat="1" ht="18" hidden="1" customHeight="1" x14ac:dyDescent="0.25">
      <c r="C822" s="80"/>
      <c r="D822" s="180"/>
      <c r="E822" s="180"/>
      <c r="F822" s="180"/>
      <c r="G822" s="180"/>
      <c r="H822" s="180"/>
      <c r="I822" s="180"/>
      <c r="J822" s="180"/>
      <c r="K822" s="180"/>
      <c r="L822" s="328"/>
      <c r="M822" s="181"/>
      <c r="N822" s="182"/>
      <c r="O822" s="95"/>
      <c r="P822" s="93"/>
    </row>
    <row r="823" spans="2:16" s="146" customFormat="1" ht="18" hidden="1" customHeight="1" x14ac:dyDescent="0.25">
      <c r="C823" s="80"/>
      <c r="D823" s="331"/>
      <c r="E823" s="331"/>
      <c r="F823" s="331"/>
      <c r="G823" s="331"/>
      <c r="H823" s="331"/>
      <c r="I823" s="331"/>
      <c r="J823" s="331"/>
      <c r="K823" s="331"/>
      <c r="L823" s="328"/>
      <c r="M823" s="332"/>
      <c r="N823" s="328"/>
      <c r="O823" s="95"/>
      <c r="P823" s="93"/>
    </row>
    <row r="824" spans="2:16" s="146" customFormat="1" ht="18" hidden="1" customHeight="1" x14ac:dyDescent="0.25">
      <c r="C824" s="80"/>
      <c r="D824" s="331"/>
      <c r="E824" s="331"/>
      <c r="F824" s="331"/>
      <c r="G824" s="331"/>
      <c r="H824" s="331"/>
      <c r="I824" s="331"/>
      <c r="J824" s="331"/>
      <c r="K824" s="331"/>
      <c r="L824" s="328"/>
      <c r="M824" s="332"/>
      <c r="N824" s="328"/>
      <c r="O824" s="95"/>
      <c r="P824" s="93"/>
    </row>
    <row r="825" spans="2:16" s="146" customFormat="1" ht="18" hidden="1" customHeight="1" x14ac:dyDescent="0.25">
      <c r="C825" s="80"/>
      <c r="D825" s="331"/>
      <c r="E825" s="331"/>
      <c r="F825" s="331"/>
      <c r="G825" s="331"/>
      <c r="H825" s="331"/>
      <c r="I825" s="331"/>
      <c r="J825" s="331"/>
      <c r="K825" s="331"/>
      <c r="L825" s="328"/>
      <c r="M825" s="332"/>
      <c r="N825" s="328"/>
      <c r="O825" s="95"/>
      <c r="P825" s="93"/>
    </row>
    <row r="826" spans="2:16" s="146" customFormat="1" ht="9.9499999999999993" hidden="1" customHeight="1" thickBot="1" x14ac:dyDescent="0.3">
      <c r="C826" s="80"/>
      <c r="D826" s="81"/>
      <c r="E826" s="81"/>
      <c r="F826" s="81"/>
      <c r="G826" s="81"/>
      <c r="H826" s="81"/>
      <c r="I826" s="81"/>
      <c r="J826" s="81"/>
      <c r="K826" s="81"/>
      <c r="L826" s="81"/>
      <c r="M826" s="81"/>
      <c r="N826" s="81"/>
      <c r="O826" s="96"/>
      <c r="P826" s="97"/>
    </row>
    <row r="827" spans="2:16" s="146" customFormat="1" ht="18" hidden="1" customHeight="1" x14ac:dyDescent="0.25">
      <c r="B827" s="31" t="s">
        <v>34</v>
      </c>
      <c r="C827" s="29"/>
      <c r="E827" s="30"/>
      <c r="F827" s="30"/>
      <c r="G827" s="1041" t="s">
        <v>343</v>
      </c>
      <c r="H827" s="1042"/>
      <c r="I827" s="1042"/>
      <c r="J827" s="1043"/>
      <c r="K827" s="1085">
        <f>'[25]MEMÓRIA DE CÁLCULO'!$K$880</f>
        <v>1</v>
      </c>
      <c r="L827" s="1086"/>
      <c r="M827" s="18"/>
      <c r="N827" s="18"/>
      <c r="O827" s="98"/>
      <c r="P827" s="99"/>
    </row>
    <row r="828" spans="2:16" s="146" customFormat="1" ht="18" hidden="1" customHeight="1" x14ac:dyDescent="0.25">
      <c r="B828" s="31" t="str">
        <f>C812</f>
        <v>2.11</v>
      </c>
      <c r="C828" s="29"/>
      <c r="E828" s="30"/>
      <c r="F828" s="30"/>
      <c r="G828" s="1082" t="s">
        <v>344</v>
      </c>
      <c r="H828" s="1083"/>
      <c r="I828" s="1083"/>
      <c r="J828" s="1084"/>
      <c r="K828" s="1075">
        <f>K827+O812</f>
        <v>1</v>
      </c>
      <c r="L828" s="1076"/>
      <c r="M828" s="18"/>
      <c r="N828" s="18"/>
      <c r="O828" s="98"/>
      <c r="P828" s="99"/>
    </row>
    <row r="829" spans="2:16" s="146" customFormat="1" ht="18" hidden="1" customHeight="1" x14ac:dyDescent="0.25">
      <c r="C829" s="29"/>
      <c r="D829" s="30"/>
      <c r="E829" s="30"/>
      <c r="F829" s="30"/>
      <c r="G829" s="1082" t="s">
        <v>345</v>
      </c>
      <c r="H829" s="1083"/>
      <c r="I829" s="1083"/>
      <c r="J829" s="1084"/>
      <c r="K829" s="1075">
        <f>'BM DETALHADO'!E61</f>
        <v>1</v>
      </c>
      <c r="L829" s="1076"/>
      <c r="M829" s="18"/>
      <c r="N829" s="18"/>
      <c r="O829" s="98"/>
      <c r="P829" s="99"/>
    </row>
    <row r="830" spans="2:16" s="146" customFormat="1" ht="18" hidden="1" customHeight="1" thickBot="1" x14ac:dyDescent="0.3">
      <c r="C830" s="29"/>
      <c r="D830" s="30"/>
      <c r="E830" s="30"/>
      <c r="F830" s="30"/>
      <c r="G830" s="1077" t="s">
        <v>346</v>
      </c>
      <c r="H830" s="1078"/>
      <c r="I830" s="1078"/>
      <c r="J830" s="1079"/>
      <c r="K830" s="1068">
        <f>K829-K828</f>
        <v>0</v>
      </c>
      <c r="L830" s="1069"/>
      <c r="M830" s="18"/>
      <c r="N830" s="18"/>
      <c r="O830" s="98"/>
      <c r="P830" s="99"/>
    </row>
    <row r="831" spans="2:16" s="146" customFormat="1" ht="9.9499999999999993" hidden="1" customHeight="1" thickBot="1" x14ac:dyDescent="0.3">
      <c r="C831" s="21"/>
      <c r="D831" s="22"/>
      <c r="E831" s="22"/>
      <c r="F831" s="22"/>
      <c r="G831" s="360"/>
      <c r="H831" s="360"/>
      <c r="I831" s="360"/>
      <c r="J831" s="360"/>
      <c r="K831" s="361"/>
      <c r="L831" s="361"/>
      <c r="M831" s="22"/>
      <c r="N831" s="22"/>
      <c r="O831" s="100"/>
      <c r="P831" s="101"/>
    </row>
    <row r="832" spans="2:16" s="146" customFormat="1" ht="18" customHeight="1" x14ac:dyDescent="0.25">
      <c r="C832" s="20" t="s">
        <v>34</v>
      </c>
      <c r="D832" s="1052" t="s">
        <v>35</v>
      </c>
      <c r="E832" s="1053"/>
      <c r="F832" s="1053"/>
      <c r="G832" s="1053"/>
      <c r="H832" s="1053"/>
      <c r="I832" s="1053"/>
      <c r="J832" s="1053"/>
      <c r="K832" s="1053"/>
      <c r="L832" s="1053"/>
      <c r="M832" s="1054"/>
      <c r="N832" s="145" t="s">
        <v>0</v>
      </c>
      <c r="O832" s="1107" t="s">
        <v>4</v>
      </c>
      <c r="P832" s="1108"/>
    </row>
    <row r="833" spans="2:16" s="146" customFormat="1" ht="69.95" customHeight="1" thickBot="1" x14ac:dyDescent="0.3">
      <c r="C833" s="85" t="s">
        <v>167</v>
      </c>
      <c r="D833" s="1070" t="str">
        <f>VLOOKUP(C833,'BM DETALHADO'!$B$13:$D$126,2,FALSE)</f>
        <v>REMONTAGEM DE PAREDE DE ADOBE</v>
      </c>
      <c r="E833" s="1071"/>
      <c r="F833" s="1071"/>
      <c r="G833" s="1071"/>
      <c r="H833" s="1071"/>
      <c r="I833" s="1071"/>
      <c r="J833" s="1071"/>
      <c r="K833" s="1071"/>
      <c r="L833" s="1071"/>
      <c r="M833" s="1072"/>
      <c r="N833" s="19" t="str">
        <f>VLOOKUP(C833,'BM DETALHADO'!$B$13:$D$126,3,FALSE)</f>
        <v>M2</v>
      </c>
      <c r="O833" s="1109">
        <f>I842</f>
        <v>6.6800000000000006</v>
      </c>
      <c r="P833" s="1110"/>
    </row>
    <row r="834" spans="2:16" s="146" customFormat="1" ht="9.9499999999999993" customHeight="1" x14ac:dyDescent="0.25">
      <c r="C834" s="77"/>
      <c r="D834" s="78"/>
      <c r="E834" s="79"/>
      <c r="F834" s="79"/>
      <c r="G834" s="79"/>
      <c r="H834" s="79"/>
      <c r="I834" s="79"/>
      <c r="J834" s="79"/>
      <c r="K834" s="79"/>
      <c r="L834" s="79"/>
      <c r="M834" s="79"/>
      <c r="N834" s="79"/>
      <c r="O834" s="91"/>
      <c r="P834" s="92"/>
    </row>
    <row r="835" spans="2:16" s="146" customFormat="1" ht="18" customHeight="1" x14ac:dyDescent="0.25">
      <c r="C835" s="336"/>
      <c r="D835" s="671" t="s">
        <v>308</v>
      </c>
      <c r="E835" s="1031" t="s">
        <v>351</v>
      </c>
      <c r="F835" s="1031"/>
      <c r="G835" s="1031" t="s">
        <v>404</v>
      </c>
      <c r="H835" s="1031"/>
      <c r="I835" s="1031" t="s">
        <v>409</v>
      </c>
      <c r="J835" s="1031"/>
      <c r="K835" s="482"/>
      <c r="L835" s="483"/>
      <c r="M835" s="169"/>
      <c r="N835" s="169"/>
      <c r="O835" s="484"/>
      <c r="P835" s="93"/>
    </row>
    <row r="836" spans="2:16" s="611" customFormat="1" ht="18" customHeight="1" x14ac:dyDescent="0.25">
      <c r="C836" s="687"/>
      <c r="D836" s="806" t="s">
        <v>441</v>
      </c>
      <c r="E836" s="1057">
        <v>1.1000000000000001</v>
      </c>
      <c r="F836" s="1057"/>
      <c r="G836" s="1058">
        <v>0.91</v>
      </c>
      <c r="H836" s="1058"/>
      <c r="I836" s="1059">
        <f>E836*G836</f>
        <v>1.0010000000000001</v>
      </c>
      <c r="J836" s="1059"/>
      <c r="K836" s="688"/>
      <c r="L836" s="689"/>
      <c r="M836" s="169"/>
      <c r="N836" s="169"/>
      <c r="O836" s="690"/>
      <c r="P836" s="93"/>
    </row>
    <row r="837" spans="2:16" s="611" customFormat="1" ht="18" customHeight="1" x14ac:dyDescent="0.25">
      <c r="C837" s="687"/>
      <c r="D837" s="807" t="s">
        <v>444</v>
      </c>
      <c r="E837" s="1060">
        <v>1.1499999999999999</v>
      </c>
      <c r="F837" s="1060"/>
      <c r="G837" s="1061">
        <v>1.22</v>
      </c>
      <c r="H837" s="1061"/>
      <c r="I837" s="1059">
        <f>E837*G837</f>
        <v>1.4029999999999998</v>
      </c>
      <c r="J837" s="1059"/>
      <c r="K837" s="688"/>
      <c r="L837" s="689"/>
      <c r="M837" s="169"/>
      <c r="N837" s="169"/>
      <c r="O837" s="690"/>
      <c r="P837" s="93"/>
    </row>
    <row r="838" spans="2:16" s="611" customFormat="1" ht="18" customHeight="1" x14ac:dyDescent="0.25">
      <c r="C838" s="687"/>
      <c r="D838" s="807" t="s">
        <v>442</v>
      </c>
      <c r="E838" s="1062">
        <v>1.05</v>
      </c>
      <c r="F838" s="1063"/>
      <c r="G838" s="1064">
        <v>1.54</v>
      </c>
      <c r="H838" s="1065"/>
      <c r="I838" s="1059">
        <f>E838*G838</f>
        <v>1.6170000000000002</v>
      </c>
      <c r="J838" s="1059"/>
      <c r="K838" s="688"/>
      <c r="L838" s="689"/>
      <c r="M838" s="169"/>
      <c r="N838" s="169"/>
      <c r="O838" s="690"/>
      <c r="P838" s="93"/>
    </row>
    <row r="839" spans="2:16" s="146" customFormat="1" ht="18" customHeight="1" x14ac:dyDescent="0.25">
      <c r="C839" s="336"/>
      <c r="D839" s="807" t="s">
        <v>443</v>
      </c>
      <c r="E839" s="1062">
        <v>1.1200000000000001</v>
      </c>
      <c r="F839" s="1063"/>
      <c r="G839" s="1064">
        <v>1.6</v>
      </c>
      <c r="H839" s="1065"/>
      <c r="I839" s="1059">
        <f>E839*G839</f>
        <v>1.7920000000000003</v>
      </c>
      <c r="J839" s="1059"/>
      <c r="K839" s="481"/>
      <c r="L839" s="481"/>
      <c r="M839" s="481"/>
      <c r="N839" s="481"/>
      <c r="O839" s="94"/>
      <c r="P839" s="93"/>
    </row>
    <row r="840" spans="2:16" s="146" customFormat="1" ht="18" customHeight="1" x14ac:dyDescent="0.25">
      <c r="C840" s="202"/>
      <c r="D840" s="1091" t="s">
        <v>445</v>
      </c>
      <c r="E840" s="1093">
        <v>0.85</v>
      </c>
      <c r="F840" s="1094"/>
      <c r="G840" s="1093">
        <v>1.02</v>
      </c>
      <c r="H840" s="1094"/>
      <c r="I840" s="1097">
        <f>E840*G840</f>
        <v>0.86699999999999999</v>
      </c>
      <c r="J840" s="1098"/>
      <c r="K840" s="167"/>
      <c r="L840" s="168"/>
      <c r="M840" s="169"/>
      <c r="N840" s="169"/>
      <c r="O840" s="169"/>
      <c r="P840" s="93"/>
    </row>
    <row r="841" spans="2:16" s="146" customFormat="1" ht="18" customHeight="1" x14ac:dyDescent="0.25">
      <c r="C841" s="202"/>
      <c r="D841" s="1092"/>
      <c r="E841" s="1095"/>
      <c r="F841" s="1096"/>
      <c r="G841" s="1095"/>
      <c r="H841" s="1096"/>
      <c r="I841" s="1099"/>
      <c r="J841" s="1100"/>
      <c r="K841" s="167"/>
      <c r="L841" s="168"/>
      <c r="M841" s="169"/>
      <c r="N841" s="169"/>
      <c r="O841" s="169"/>
      <c r="P841" s="93"/>
    </row>
    <row r="842" spans="2:16" s="146" customFormat="1" ht="18" customHeight="1" x14ac:dyDescent="0.25">
      <c r="C842" s="80"/>
      <c r="D842" s="1056" t="s">
        <v>19</v>
      </c>
      <c r="E842" s="1056"/>
      <c r="F842" s="1056"/>
      <c r="G842" s="1056"/>
      <c r="H842" s="1056"/>
      <c r="I842" s="1055">
        <f>SUM(I836:J841)</f>
        <v>6.6800000000000006</v>
      </c>
      <c r="J842" s="1056"/>
      <c r="K842" s="81"/>
      <c r="L842" s="81"/>
      <c r="M842" s="81"/>
      <c r="N842" s="81"/>
      <c r="O842" s="96"/>
      <c r="P842" s="97"/>
    </row>
    <row r="843" spans="2:16" s="611" customFormat="1" ht="9.9499999999999993" customHeight="1" thickBot="1" x14ac:dyDescent="0.3">
      <c r="C843" s="80"/>
      <c r="D843" s="680"/>
      <c r="E843" s="680"/>
      <c r="F843" s="680"/>
      <c r="G843" s="743"/>
      <c r="H843" s="743"/>
      <c r="I843" s="744"/>
      <c r="J843" s="745"/>
      <c r="K843" s="81"/>
      <c r="L843" s="81"/>
      <c r="M843" s="81"/>
      <c r="N843" s="81"/>
      <c r="O843" s="96"/>
      <c r="P843" s="97"/>
    </row>
    <row r="844" spans="2:16" s="146" customFormat="1" ht="18" customHeight="1" x14ac:dyDescent="0.25">
      <c r="B844" s="31" t="s">
        <v>34</v>
      </c>
      <c r="C844" s="29"/>
      <c r="D844" s="348"/>
      <c r="E844" s="30"/>
      <c r="F844" s="30"/>
      <c r="G844" s="1041" t="s">
        <v>343</v>
      </c>
      <c r="H844" s="1042"/>
      <c r="I844" s="1042"/>
      <c r="J844" s="1043"/>
      <c r="K844" s="1085">
        <f>'[27]MEMÓRIA DE CÁLCULO'!$K$833</f>
        <v>49.098199999999999</v>
      </c>
      <c r="L844" s="1086"/>
      <c r="M844" s="18"/>
      <c r="N844" s="18"/>
      <c r="O844" s="98"/>
      <c r="P844" s="99"/>
    </row>
    <row r="845" spans="2:16" s="146" customFormat="1" ht="18" customHeight="1" x14ac:dyDescent="0.25">
      <c r="B845" s="31" t="str">
        <f>C833</f>
        <v>2.12</v>
      </c>
      <c r="C845" s="29"/>
      <c r="D845" s="348"/>
      <c r="E845" s="30"/>
      <c r="F845" s="30"/>
      <c r="G845" s="1082" t="s">
        <v>344</v>
      </c>
      <c r="H845" s="1083"/>
      <c r="I845" s="1083"/>
      <c r="J845" s="1084"/>
      <c r="K845" s="1075">
        <f>K844+O833</f>
        <v>55.778199999999998</v>
      </c>
      <c r="L845" s="1076"/>
      <c r="M845" s="18"/>
      <c r="N845" s="18"/>
      <c r="O845" s="98"/>
      <c r="P845" s="99"/>
    </row>
    <row r="846" spans="2:16" s="146" customFormat="1" ht="18" customHeight="1" x14ac:dyDescent="0.25">
      <c r="C846" s="29"/>
      <c r="D846" s="30"/>
      <c r="E846" s="30"/>
      <c r="F846" s="30"/>
      <c r="G846" s="1082" t="s">
        <v>345</v>
      </c>
      <c r="H846" s="1083"/>
      <c r="I846" s="1083"/>
      <c r="J846" s="1084"/>
      <c r="K846" s="1075">
        <f>VLOOKUP(C833,'[26]BM DETALHADO'!$B$13:$E$126,4,FALSE)</f>
        <v>300</v>
      </c>
      <c r="L846" s="1076"/>
      <c r="M846" s="18"/>
      <c r="N846" s="18"/>
      <c r="O846" s="98"/>
      <c r="P846" s="99"/>
    </row>
    <row r="847" spans="2:16" s="146" customFormat="1" ht="18" customHeight="1" thickBot="1" x14ac:dyDescent="0.3">
      <c r="C847" s="29"/>
      <c r="D847" s="30"/>
      <c r="E847" s="30"/>
      <c r="F847" s="30"/>
      <c r="G847" s="1077" t="s">
        <v>346</v>
      </c>
      <c r="H847" s="1078"/>
      <c r="I847" s="1078"/>
      <c r="J847" s="1079"/>
      <c r="K847" s="1068">
        <f>K846-K845</f>
        <v>244.2218</v>
      </c>
      <c r="L847" s="1069"/>
      <c r="M847" s="18"/>
      <c r="N847" s="18"/>
      <c r="O847" s="98"/>
      <c r="P847" s="99"/>
    </row>
    <row r="848" spans="2:16" s="146" customFormat="1" ht="9.9499999999999993" customHeight="1" thickBot="1" x14ac:dyDescent="0.3">
      <c r="C848" s="21"/>
      <c r="D848" s="22"/>
      <c r="E848" s="22"/>
      <c r="F848" s="22"/>
      <c r="G848" s="360"/>
      <c r="H848" s="360"/>
      <c r="I848" s="360"/>
      <c r="J848" s="360"/>
      <c r="K848" s="361"/>
      <c r="L848" s="361"/>
      <c r="M848" s="22"/>
      <c r="N848" s="22"/>
      <c r="O848" s="100"/>
      <c r="P848" s="101"/>
    </row>
    <row r="849" spans="2:30" s="146" customFormat="1" ht="18" customHeight="1" x14ac:dyDescent="0.25">
      <c r="C849" s="20" t="s">
        <v>34</v>
      </c>
      <c r="D849" s="1052" t="s">
        <v>35</v>
      </c>
      <c r="E849" s="1053"/>
      <c r="F849" s="1053"/>
      <c r="G849" s="1053"/>
      <c r="H849" s="1053"/>
      <c r="I849" s="1053"/>
      <c r="J849" s="1053"/>
      <c r="K849" s="1053"/>
      <c r="L849" s="1053"/>
      <c r="M849" s="1054"/>
      <c r="N849" s="145" t="s">
        <v>0</v>
      </c>
      <c r="O849" s="1107" t="s">
        <v>4</v>
      </c>
      <c r="P849" s="1108"/>
    </row>
    <row r="850" spans="2:30" s="146" customFormat="1" ht="69.95" customHeight="1" thickBot="1" x14ac:dyDescent="0.3">
      <c r="C850" s="85" t="s">
        <v>170</v>
      </c>
      <c r="D850" s="1070" t="str">
        <f>VLOOKUP(C850,'BM DETALHADO'!$B$13:$D$126,2,FALSE)</f>
        <v>50,0 M &lt; DMT &lt;= 100,0 M</v>
      </c>
      <c r="E850" s="1071"/>
      <c r="F850" s="1071"/>
      <c r="G850" s="1071"/>
      <c r="H850" s="1071"/>
      <c r="I850" s="1071"/>
      <c r="J850" s="1071"/>
      <c r="K850" s="1071"/>
      <c r="L850" s="1071"/>
      <c r="M850" s="1072"/>
      <c r="N850" s="19" t="str">
        <f>VLOOKUP(C850,'BM DETALHADO'!$B$13:$D$126,3,FALSE)</f>
        <v>M3</v>
      </c>
      <c r="O850" s="1109"/>
      <c r="P850" s="1110"/>
    </row>
    <row r="851" spans="2:30" s="146" customFormat="1" ht="18" customHeight="1" x14ac:dyDescent="0.25">
      <c r="C851" s="202"/>
      <c r="D851" s="1115" t="s">
        <v>388</v>
      </c>
      <c r="E851" s="1115"/>
      <c r="F851" s="1115"/>
      <c r="G851" s="1115"/>
      <c r="H851" s="1115"/>
      <c r="I851" s="1115"/>
      <c r="J851" s="1115"/>
      <c r="K851" s="1115"/>
      <c r="L851" s="1115"/>
      <c r="M851" s="1115"/>
      <c r="N851" s="1115"/>
      <c r="O851" s="1115"/>
      <c r="P851" s="213"/>
      <c r="T851" s="509"/>
      <c r="U851" s="509"/>
      <c r="V851" s="509"/>
      <c r="W851" s="509"/>
      <c r="X851" s="509"/>
      <c r="Y851" s="509"/>
      <c r="Z851" s="509"/>
      <c r="AA851" s="509"/>
      <c r="AB851" s="509"/>
      <c r="AC851" s="509"/>
      <c r="AD851" s="509"/>
    </row>
    <row r="852" spans="2:30" s="146" customFormat="1" ht="18" customHeight="1" x14ac:dyDescent="0.25">
      <c r="C852" s="202"/>
      <c r="D852" s="514" t="s">
        <v>34</v>
      </c>
      <c r="E852" s="515" t="s">
        <v>350</v>
      </c>
      <c r="F852" s="516" t="s">
        <v>4</v>
      </c>
      <c r="G852" s="516" t="s">
        <v>387</v>
      </c>
      <c r="H852" s="211"/>
      <c r="I852" s="215"/>
      <c r="J852" s="216"/>
      <c r="K852" s="215"/>
      <c r="L852" s="216"/>
      <c r="M852" s="212"/>
      <c r="N852" s="212"/>
      <c r="O852" s="212"/>
      <c r="P852" s="213"/>
      <c r="T852" s="509"/>
      <c r="U852" s="509"/>
      <c r="V852" s="509"/>
      <c r="W852" s="509"/>
      <c r="X852" s="509"/>
      <c r="Y852" s="509"/>
      <c r="Z852" s="509"/>
      <c r="AA852" s="509"/>
      <c r="AB852" s="509"/>
      <c r="AC852" s="509"/>
      <c r="AD852" s="509"/>
    </row>
    <row r="853" spans="2:30" s="577" customFormat="1" ht="18" customHeight="1" x14ac:dyDescent="0.25">
      <c r="C853" s="202"/>
      <c r="D853" s="518">
        <v>1</v>
      </c>
      <c r="E853" s="519">
        <v>6</v>
      </c>
      <c r="F853" s="520">
        <v>21.02</v>
      </c>
      <c r="G853" s="519" t="s">
        <v>204</v>
      </c>
      <c r="H853" s="211"/>
      <c r="I853" s="215"/>
      <c r="J853" s="216"/>
      <c r="K853" s="215"/>
      <c r="L853" s="216"/>
      <c r="M853" s="212"/>
      <c r="N853" s="212"/>
      <c r="O853" s="212"/>
      <c r="P853" s="213"/>
      <c r="T853" s="509"/>
      <c r="U853" s="509"/>
      <c r="V853" s="509"/>
      <c r="W853" s="509"/>
      <c r="X853" s="509"/>
      <c r="Y853" s="509"/>
      <c r="Z853" s="509"/>
      <c r="AA853" s="509"/>
      <c r="AB853" s="509"/>
      <c r="AC853" s="509"/>
      <c r="AD853" s="509"/>
    </row>
    <row r="854" spans="2:30" s="146" customFormat="1" ht="18" customHeight="1" x14ac:dyDescent="0.25">
      <c r="C854" s="80"/>
      <c r="D854" s="619">
        <v>2</v>
      </c>
      <c r="E854" s="619">
        <v>7</v>
      </c>
      <c r="F854" s="620">
        <v>6.59</v>
      </c>
      <c r="G854" s="619" t="s">
        <v>204</v>
      </c>
      <c r="H854" s="618"/>
      <c r="I854" s="618"/>
      <c r="J854" s="618"/>
      <c r="K854" s="618"/>
      <c r="L854" s="618"/>
      <c r="M854" s="618"/>
      <c r="N854" s="618"/>
      <c r="O854" s="618"/>
      <c r="P854" s="213"/>
      <c r="T854" s="509"/>
      <c r="U854" s="509"/>
      <c r="V854" s="509"/>
      <c r="W854" s="509"/>
      <c r="X854" s="509"/>
      <c r="Y854" s="509"/>
      <c r="Z854" s="509"/>
      <c r="AA854" s="509"/>
      <c r="AB854" s="509"/>
      <c r="AC854" s="509"/>
      <c r="AD854" s="509"/>
    </row>
    <row r="855" spans="2:30" s="146" customFormat="1" ht="18" customHeight="1" x14ac:dyDescent="0.25">
      <c r="C855" s="80"/>
      <c r="D855" s="747">
        <v>3</v>
      </c>
      <c r="E855" s="748">
        <v>8</v>
      </c>
      <c r="F855" s="749">
        <v>9.43</v>
      </c>
      <c r="G855" s="748" t="s">
        <v>204</v>
      </c>
      <c r="H855" s="517"/>
      <c r="I855" s="517"/>
      <c r="J855" s="517"/>
      <c r="K855" s="517"/>
      <c r="L855" s="512"/>
      <c r="M855" s="512"/>
      <c r="N855" s="512"/>
      <c r="O855" s="509"/>
      <c r="P855" s="213"/>
    </row>
    <row r="856" spans="2:30" s="146" customFormat="1" ht="18" customHeight="1" x14ac:dyDescent="0.25">
      <c r="C856" s="80"/>
      <c r="D856" s="621">
        <v>4</v>
      </c>
      <c r="E856" s="621">
        <v>9</v>
      </c>
      <c r="F856" s="750">
        <v>6.78</v>
      </c>
      <c r="G856" s="622" t="s">
        <v>204</v>
      </c>
      <c r="H856" s="510"/>
      <c r="I856" s="510"/>
      <c r="J856" s="510"/>
      <c r="K856" s="510"/>
      <c r="L856" s="511"/>
      <c r="M856" s="511"/>
      <c r="N856" s="511"/>
      <c r="O856" s="513"/>
      <c r="P856" s="213"/>
    </row>
    <row r="857" spans="2:30" s="146" customFormat="1" ht="18" customHeight="1" x14ac:dyDescent="0.25">
      <c r="C857" s="80"/>
      <c r="D857" s="1044" t="s">
        <v>19</v>
      </c>
      <c r="E857" s="1045"/>
      <c r="F857" s="836">
        <f>SUM(F853:F856)</f>
        <v>43.82</v>
      </c>
      <c r="G857" s="837" t="s">
        <v>204</v>
      </c>
      <c r="H857" s="510"/>
      <c r="I857" s="510"/>
      <c r="J857" s="510"/>
      <c r="K857" s="510"/>
      <c r="L857" s="511"/>
      <c r="M857" s="511"/>
      <c r="N857" s="511"/>
      <c r="O857" s="513"/>
      <c r="P857" s="213"/>
    </row>
    <row r="858" spans="2:30" s="146" customFormat="1" ht="9.9499999999999993" customHeight="1" thickBot="1" x14ac:dyDescent="0.3">
      <c r="C858" s="80"/>
      <c r="D858" s="211"/>
      <c r="E858" s="211"/>
      <c r="F858" s="211"/>
      <c r="G858" s="211"/>
      <c r="H858" s="211"/>
      <c r="I858" s="211"/>
      <c r="J858" s="211"/>
      <c r="K858" s="211"/>
      <c r="L858" s="211"/>
      <c r="M858" s="211"/>
      <c r="N858" s="211"/>
      <c r="O858" s="223"/>
      <c r="P858" s="224"/>
    </row>
    <row r="859" spans="2:30" s="146" customFormat="1" ht="18" customHeight="1" x14ac:dyDescent="0.25">
      <c r="B859" s="31" t="s">
        <v>34</v>
      </c>
      <c r="C859" s="29"/>
      <c r="E859" s="30"/>
      <c r="F859" s="30"/>
      <c r="G859" s="1041" t="s">
        <v>343</v>
      </c>
      <c r="H859" s="1042"/>
      <c r="I859" s="1042"/>
      <c r="J859" s="1043"/>
      <c r="K859" s="1085">
        <f>'[25]MEMÓRIA DE CÁLCULO'!$K$914</f>
        <v>29.999648499999996</v>
      </c>
      <c r="L859" s="1086"/>
      <c r="M859" s="18"/>
      <c r="N859" s="18"/>
      <c r="O859" s="98"/>
      <c r="P859" s="99"/>
    </row>
    <row r="860" spans="2:30" s="146" customFormat="1" ht="18" customHeight="1" x14ac:dyDescent="0.25">
      <c r="B860" s="31" t="str">
        <f>C850</f>
        <v>2.13</v>
      </c>
      <c r="C860" s="29"/>
      <c r="E860" s="30"/>
      <c r="F860" s="30"/>
      <c r="G860" s="1082" t="s">
        <v>344</v>
      </c>
      <c r="H860" s="1083"/>
      <c r="I860" s="1083"/>
      <c r="J860" s="1084"/>
      <c r="K860" s="1075">
        <f>K859+O850</f>
        <v>29.999648499999996</v>
      </c>
      <c r="L860" s="1076"/>
      <c r="M860" s="18"/>
      <c r="N860" s="18"/>
      <c r="O860" s="98"/>
      <c r="P860" s="99"/>
    </row>
    <row r="861" spans="2:30" s="146" customFormat="1" ht="18" customHeight="1" x14ac:dyDescent="0.25">
      <c r="C861" s="29"/>
      <c r="D861" s="30"/>
      <c r="E861" s="30"/>
      <c r="F861" s="30"/>
      <c r="G861" s="1082" t="s">
        <v>345</v>
      </c>
      <c r="H861" s="1083"/>
      <c r="I861" s="1083"/>
      <c r="J861" s="1084"/>
      <c r="K861" s="1075">
        <f>VLOOKUP(C850,'[26]BM DETALHADO'!$B$13:$E$126,4,FALSE)</f>
        <v>30</v>
      </c>
      <c r="L861" s="1076"/>
      <c r="M861" s="18"/>
      <c r="N861" s="18"/>
      <c r="O861" s="98"/>
      <c r="P861" s="99"/>
    </row>
    <row r="862" spans="2:30" s="146" customFormat="1" ht="18" customHeight="1" thickBot="1" x14ac:dyDescent="0.3">
      <c r="C862" s="29"/>
      <c r="D862" s="30"/>
      <c r="E862" s="30"/>
      <c r="F862" s="30"/>
      <c r="G862" s="1077" t="s">
        <v>346</v>
      </c>
      <c r="H862" s="1078"/>
      <c r="I862" s="1078"/>
      <c r="J862" s="1079"/>
      <c r="K862" s="1068">
        <f>K861-K860</f>
        <v>3.5150000000427895E-4</v>
      </c>
      <c r="L862" s="1069"/>
      <c r="M862" s="18"/>
      <c r="N862" s="18"/>
      <c r="O862" s="98"/>
      <c r="P862" s="99"/>
    </row>
    <row r="863" spans="2:30" s="146" customFormat="1" ht="9.9499999999999993" customHeight="1" thickBot="1" x14ac:dyDescent="0.3">
      <c r="C863" s="21"/>
      <c r="D863" s="22"/>
      <c r="E863" s="22"/>
      <c r="F863" s="22"/>
      <c r="G863" s="360"/>
      <c r="H863" s="360"/>
      <c r="I863" s="360"/>
      <c r="J863" s="360"/>
      <c r="K863" s="361"/>
      <c r="L863" s="361"/>
      <c r="M863" s="22"/>
      <c r="N863" s="22"/>
      <c r="O863" s="100"/>
      <c r="P863" s="101"/>
    </row>
    <row r="864" spans="2:30" s="146" customFormat="1" ht="18" hidden="1" customHeight="1" x14ac:dyDescent="0.25">
      <c r="C864" s="20" t="s">
        <v>34</v>
      </c>
      <c r="D864" s="1052" t="s">
        <v>35</v>
      </c>
      <c r="E864" s="1053"/>
      <c r="F864" s="1053"/>
      <c r="G864" s="1053"/>
      <c r="H864" s="1053"/>
      <c r="I864" s="1053"/>
      <c r="J864" s="1053"/>
      <c r="K864" s="1053"/>
      <c r="L864" s="1053"/>
      <c r="M864" s="1054"/>
      <c r="N864" s="145" t="s">
        <v>0</v>
      </c>
      <c r="O864" s="1107" t="s">
        <v>4</v>
      </c>
      <c r="P864" s="1108"/>
    </row>
    <row r="865" spans="2:16" s="146" customFormat="1" ht="69.95" hidden="1" customHeight="1" thickBot="1" x14ac:dyDescent="0.3">
      <c r="C865" s="85" t="s">
        <v>172</v>
      </c>
      <c r="D865" s="1070" t="str">
        <f>VLOOKUP(C865,'BM DETALHADO'!$B$13:$D$126,2,FALSE)</f>
        <v>DEDETIZAÇÃO POR EMPRESA COM EXPERIENCIA COMPROVADA EM SERVIÇOS DE PRÉDIOS  TOMBADOS COMO PATRIMÔNIO HISTÓRICO</v>
      </c>
      <c r="E865" s="1071"/>
      <c r="F865" s="1071"/>
      <c r="G865" s="1071"/>
      <c r="H865" s="1071"/>
      <c r="I865" s="1071"/>
      <c r="J865" s="1071"/>
      <c r="K865" s="1071"/>
      <c r="L865" s="1071"/>
      <c r="M865" s="1072"/>
      <c r="N865" s="19" t="str">
        <f>VLOOKUP(C865,'BM DETALHADO'!$B$13:$D$126,3,FALSE)</f>
        <v>M2</v>
      </c>
      <c r="O865" s="1109"/>
      <c r="P865" s="1110"/>
    </row>
    <row r="866" spans="2:16" s="146" customFormat="1" ht="9.9499999999999993" hidden="1" customHeight="1" x14ac:dyDescent="0.25">
      <c r="C866" s="77"/>
      <c r="D866" s="78"/>
      <c r="E866" s="79"/>
      <c r="F866" s="79"/>
      <c r="G866" s="79"/>
      <c r="H866" s="79"/>
      <c r="I866" s="79"/>
      <c r="J866" s="79"/>
      <c r="K866" s="79"/>
      <c r="L866" s="79"/>
      <c r="M866" s="79"/>
      <c r="N866" s="79"/>
      <c r="O866" s="91"/>
      <c r="P866" s="92"/>
    </row>
    <row r="867" spans="2:16" s="146" customFormat="1" ht="18" hidden="1" customHeight="1" x14ac:dyDescent="0.25">
      <c r="C867" s="336"/>
      <c r="D867" s="219"/>
      <c r="E867" s="219"/>
      <c r="F867" s="219"/>
      <c r="G867" s="81"/>
      <c r="H867" s="219"/>
      <c r="I867" s="219"/>
      <c r="J867" s="219"/>
      <c r="K867" s="344"/>
      <c r="L867" s="219"/>
      <c r="M867" s="169"/>
      <c r="N867" s="169"/>
      <c r="O867" s="343"/>
      <c r="P867" s="93"/>
    </row>
    <row r="868" spans="2:16" s="146" customFormat="1" ht="18" hidden="1" customHeight="1" x14ac:dyDescent="0.25">
      <c r="C868" s="336"/>
      <c r="D868" s="335"/>
      <c r="E868" s="335"/>
      <c r="F868" s="341"/>
      <c r="G868" s="333"/>
      <c r="H868" s="335"/>
      <c r="I868" s="335"/>
      <c r="J868" s="341"/>
      <c r="K868" s="330"/>
      <c r="L868" s="219"/>
      <c r="M868" s="330"/>
      <c r="N868" s="330"/>
      <c r="O868" s="94"/>
      <c r="P868" s="93"/>
    </row>
    <row r="869" spans="2:16" s="146" customFormat="1" ht="18" hidden="1" customHeight="1" x14ac:dyDescent="0.25">
      <c r="C869" s="202"/>
      <c r="D869" s="335"/>
      <c r="E869" s="335"/>
      <c r="F869" s="341"/>
      <c r="G869" s="211"/>
      <c r="H869" s="211"/>
      <c r="I869" s="215"/>
      <c r="J869" s="297"/>
      <c r="K869" s="215"/>
      <c r="L869" s="298"/>
      <c r="M869" s="169"/>
      <c r="N869" s="169"/>
      <c r="O869" s="169"/>
      <c r="P869" s="93"/>
    </row>
    <row r="870" spans="2:16" s="146" customFormat="1" ht="18" hidden="1" customHeight="1" x14ac:dyDescent="0.25">
      <c r="C870" s="202"/>
      <c r="D870" s="81"/>
      <c r="E870" s="81"/>
      <c r="F870" s="81"/>
      <c r="G870" s="81"/>
      <c r="H870" s="81"/>
      <c r="I870" s="167"/>
      <c r="J870" s="168"/>
      <c r="K870" s="167"/>
      <c r="L870" s="168"/>
      <c r="M870" s="169"/>
      <c r="N870" s="169"/>
      <c r="O870" s="169"/>
      <c r="P870" s="93"/>
    </row>
    <row r="871" spans="2:16" s="146" customFormat="1" ht="18" hidden="1" customHeight="1" x14ac:dyDescent="0.25">
      <c r="C871" s="202"/>
      <c r="D871" s="219"/>
      <c r="E871" s="219"/>
      <c r="F871" s="219"/>
      <c r="G871" s="219"/>
      <c r="H871" s="219"/>
      <c r="I871" s="219"/>
      <c r="J871" s="219"/>
      <c r="K871" s="167"/>
      <c r="L871" s="168"/>
      <c r="M871" s="169"/>
      <c r="N871" s="169"/>
      <c r="O871" s="169"/>
      <c r="P871" s="93"/>
    </row>
    <row r="872" spans="2:16" s="146" customFormat="1" ht="18" hidden="1" customHeight="1" x14ac:dyDescent="0.25">
      <c r="C872" s="202"/>
      <c r="D872" s="211"/>
      <c r="E872" s="211"/>
      <c r="F872" s="211"/>
      <c r="G872" s="211"/>
      <c r="H872" s="211"/>
      <c r="I872" s="299"/>
      <c r="J872" s="299"/>
      <c r="K872" s="167"/>
      <c r="L872" s="168"/>
      <c r="M872" s="169"/>
      <c r="N872" s="169"/>
      <c r="O872" s="169"/>
      <c r="P872" s="93"/>
    </row>
    <row r="873" spans="2:16" s="146" customFormat="1" ht="18" hidden="1" customHeight="1" x14ac:dyDescent="0.25">
      <c r="C873" s="202"/>
      <c r="D873" s="211"/>
      <c r="E873" s="211"/>
      <c r="F873" s="211"/>
      <c r="G873" s="211"/>
      <c r="H873" s="211"/>
      <c r="I873" s="299"/>
      <c r="J873" s="299"/>
      <c r="K873" s="167"/>
      <c r="L873" s="168"/>
      <c r="M873" s="169"/>
      <c r="N873" s="169"/>
      <c r="O873" s="169"/>
      <c r="P873" s="93"/>
    </row>
    <row r="874" spans="2:16" s="146" customFormat="1" ht="18" hidden="1" customHeight="1" x14ac:dyDescent="0.25">
      <c r="C874" s="80"/>
      <c r="D874" s="211"/>
      <c r="E874" s="211"/>
      <c r="F874" s="211"/>
      <c r="G874" s="211"/>
      <c r="H874" s="335"/>
      <c r="I874" s="208"/>
      <c r="J874" s="208"/>
      <c r="K874" s="330"/>
      <c r="L874" s="330"/>
      <c r="M874" s="330"/>
      <c r="N874" s="330"/>
      <c r="O874" s="94"/>
      <c r="P874" s="93"/>
    </row>
    <row r="875" spans="2:16" s="146" customFormat="1" ht="18" hidden="1" customHeight="1" x14ac:dyDescent="0.25">
      <c r="C875" s="80"/>
      <c r="D875" s="180"/>
      <c r="E875" s="180"/>
      <c r="F875" s="180"/>
      <c r="G875" s="180"/>
      <c r="H875" s="180"/>
      <c r="I875" s="180"/>
      <c r="J875" s="180"/>
      <c r="K875" s="180"/>
      <c r="L875" s="328"/>
      <c r="M875" s="181"/>
      <c r="N875" s="182"/>
      <c r="O875" s="95"/>
      <c r="P875" s="93"/>
    </row>
    <row r="876" spans="2:16" s="146" customFormat="1" ht="18" hidden="1" customHeight="1" x14ac:dyDescent="0.25">
      <c r="C876" s="80"/>
      <c r="D876" s="182"/>
      <c r="E876" s="182"/>
      <c r="F876" s="182"/>
      <c r="G876" s="182"/>
      <c r="H876" s="182"/>
      <c r="I876" s="328"/>
      <c r="J876" s="204"/>
      <c r="K876" s="328"/>
      <c r="L876" s="328"/>
      <c r="M876" s="332"/>
      <c r="N876" s="328"/>
      <c r="O876" s="95"/>
      <c r="P876" s="93"/>
    </row>
    <row r="877" spans="2:16" s="146" customFormat="1" ht="18" hidden="1" customHeight="1" x14ac:dyDescent="0.25">
      <c r="C877" s="80"/>
      <c r="D877" s="331"/>
      <c r="E877" s="331"/>
      <c r="F877" s="331"/>
      <c r="G877" s="331"/>
      <c r="H877" s="331"/>
      <c r="I877" s="331"/>
      <c r="J877" s="331"/>
      <c r="K877" s="331"/>
      <c r="L877" s="328"/>
      <c r="M877" s="332"/>
      <c r="N877" s="328"/>
      <c r="O877" s="95"/>
      <c r="P877" s="93"/>
    </row>
    <row r="878" spans="2:16" s="146" customFormat="1" ht="18" hidden="1" customHeight="1" x14ac:dyDescent="0.25">
      <c r="C878" s="80"/>
      <c r="D878" s="331"/>
      <c r="E878" s="331"/>
      <c r="F878" s="331"/>
      <c r="G878" s="331"/>
      <c r="H878" s="331"/>
      <c r="I878" s="331"/>
      <c r="J878" s="331"/>
      <c r="K878" s="331"/>
      <c r="L878" s="328"/>
      <c r="M878" s="332"/>
      <c r="N878" s="328"/>
      <c r="O878" s="95"/>
      <c r="P878" s="93"/>
    </row>
    <row r="879" spans="2:16" s="146" customFormat="1" ht="9.9499999999999993" hidden="1" customHeight="1" thickBot="1" x14ac:dyDescent="0.3">
      <c r="C879" s="80"/>
      <c r="D879" s="81"/>
      <c r="E879" s="81"/>
      <c r="F879" s="81"/>
      <c r="G879" s="81"/>
      <c r="H879" s="81"/>
      <c r="I879" s="81"/>
      <c r="J879" s="81"/>
      <c r="K879" s="81"/>
      <c r="L879" s="81"/>
      <c r="M879" s="81"/>
      <c r="N879" s="81"/>
      <c r="O879" s="96"/>
      <c r="P879" s="97"/>
    </row>
    <row r="880" spans="2:16" s="146" customFormat="1" ht="18" hidden="1" customHeight="1" x14ac:dyDescent="0.25">
      <c r="B880" s="31" t="s">
        <v>34</v>
      </c>
      <c r="C880" s="29"/>
      <c r="E880" s="30"/>
      <c r="F880" s="30"/>
      <c r="G880" s="1041" t="s">
        <v>343</v>
      </c>
      <c r="H880" s="1042"/>
      <c r="I880" s="1042"/>
      <c r="J880" s="1043"/>
      <c r="K880" s="1085">
        <f>'[25]MEMÓRIA DE CÁLCULO'!$K$935</f>
        <v>848.37</v>
      </c>
      <c r="L880" s="1086"/>
      <c r="M880" s="18"/>
      <c r="N880" s="18"/>
      <c r="O880" s="98"/>
      <c r="P880" s="99"/>
    </row>
    <row r="881" spans="2:16" s="146" customFormat="1" ht="18" hidden="1" customHeight="1" x14ac:dyDescent="0.25">
      <c r="B881" s="31" t="str">
        <f>C865</f>
        <v>3.1</v>
      </c>
      <c r="C881" s="29"/>
      <c r="E881" s="30"/>
      <c r="F881" s="30"/>
      <c r="G881" s="1082" t="s">
        <v>344</v>
      </c>
      <c r="H881" s="1083"/>
      <c r="I881" s="1083"/>
      <c r="J881" s="1084"/>
      <c r="K881" s="1075">
        <f>K880+O865</f>
        <v>848.37</v>
      </c>
      <c r="L881" s="1076"/>
      <c r="M881" s="18"/>
      <c r="N881" s="18"/>
      <c r="O881" s="98"/>
      <c r="P881" s="99"/>
    </row>
    <row r="882" spans="2:16" s="146" customFormat="1" ht="18" hidden="1" customHeight="1" x14ac:dyDescent="0.25">
      <c r="C882" s="29"/>
      <c r="D882" s="30"/>
      <c r="E882" s="30"/>
      <c r="F882" s="30"/>
      <c r="G882" s="1082" t="s">
        <v>345</v>
      </c>
      <c r="H882" s="1083"/>
      <c r="I882" s="1083"/>
      <c r="J882" s="1084"/>
      <c r="K882" s="1075">
        <f>VLOOKUP(C865,'[26]BM DETALHADO'!$B$13:$E$126,4,FALSE)</f>
        <v>848.37</v>
      </c>
      <c r="L882" s="1076"/>
      <c r="M882" s="18"/>
      <c r="N882" s="18"/>
      <c r="O882" s="98"/>
      <c r="P882" s="99"/>
    </row>
    <row r="883" spans="2:16" s="146" customFormat="1" ht="18" hidden="1" customHeight="1" thickBot="1" x14ac:dyDescent="0.3">
      <c r="C883" s="29"/>
      <c r="D883" s="30"/>
      <c r="E883" s="30"/>
      <c r="F883" s="30"/>
      <c r="G883" s="1077" t="s">
        <v>346</v>
      </c>
      <c r="H883" s="1078"/>
      <c r="I883" s="1078"/>
      <c r="J883" s="1079"/>
      <c r="K883" s="1068">
        <f>K882-K881</f>
        <v>0</v>
      </c>
      <c r="L883" s="1069"/>
      <c r="M883" s="18"/>
      <c r="N883" s="18"/>
      <c r="O883" s="98"/>
      <c r="P883" s="99"/>
    </row>
    <row r="884" spans="2:16" s="146" customFormat="1" ht="9.9499999999999993" hidden="1" customHeight="1" thickBot="1" x14ac:dyDescent="0.3">
      <c r="C884" s="21"/>
      <c r="D884" s="22"/>
      <c r="E884" s="22"/>
      <c r="F884" s="22"/>
      <c r="G884" s="360"/>
      <c r="H884" s="360"/>
      <c r="I884" s="360"/>
      <c r="J884" s="360"/>
      <c r="K884" s="361"/>
      <c r="L884" s="361"/>
      <c r="M884" s="22"/>
      <c r="N884" s="22"/>
      <c r="O884" s="100"/>
      <c r="P884" s="101"/>
    </row>
    <row r="885" spans="2:16" s="146" customFormat="1" ht="18" hidden="1" customHeight="1" x14ac:dyDescent="0.25">
      <c r="C885" s="20" t="s">
        <v>34</v>
      </c>
      <c r="D885" s="1052" t="s">
        <v>35</v>
      </c>
      <c r="E885" s="1053"/>
      <c r="F885" s="1053"/>
      <c r="G885" s="1053"/>
      <c r="H885" s="1053"/>
      <c r="I885" s="1053"/>
      <c r="J885" s="1053"/>
      <c r="K885" s="1053"/>
      <c r="L885" s="1053"/>
      <c r="M885" s="1054"/>
      <c r="N885" s="145" t="s">
        <v>0</v>
      </c>
      <c r="O885" s="1107" t="s">
        <v>4</v>
      </c>
      <c r="P885" s="1108"/>
    </row>
    <row r="886" spans="2:16" s="146" customFormat="1" ht="69.95" hidden="1" customHeight="1" thickBot="1" x14ac:dyDescent="0.3">
      <c r="C886" s="85" t="s">
        <v>174</v>
      </c>
      <c r="D886" s="1070" t="str">
        <f>VLOOKUP(C886,'BM DETALHADO'!$B$13:$D$126,2,FALSE)</f>
        <v>DEDETIZAÇÃO  E DESRATIZAÇÃO DE AMBIENTE EXTERNO ( PRAÇA JULI, ONDE FICARÁ O CANTEIRO DE OBRAS E DEPÓSITO DE PEÇA MOVIMENTADAS DO MUSEU PARA RESTAURO E GUARDA PROVISÓRIA)</v>
      </c>
      <c r="E886" s="1071"/>
      <c r="F886" s="1071"/>
      <c r="G886" s="1071"/>
      <c r="H886" s="1071"/>
      <c r="I886" s="1071"/>
      <c r="J886" s="1071"/>
      <c r="K886" s="1071"/>
      <c r="L886" s="1071"/>
      <c r="M886" s="1072"/>
      <c r="N886" s="19" t="str">
        <f>VLOOKUP(C886,'BM DETALHADO'!$B$13:$D$126,3,FALSE)</f>
        <v>M2</v>
      </c>
      <c r="O886" s="1109"/>
      <c r="P886" s="1110"/>
    </row>
    <row r="887" spans="2:16" s="146" customFormat="1" ht="9.9499999999999993" hidden="1" customHeight="1" x14ac:dyDescent="0.25">
      <c r="C887" s="77"/>
      <c r="D887" s="78"/>
      <c r="E887" s="79"/>
      <c r="F887" s="79"/>
      <c r="G887" s="79"/>
      <c r="H887" s="79"/>
      <c r="I887" s="79"/>
      <c r="J887" s="79"/>
      <c r="K887" s="79"/>
      <c r="L887" s="79"/>
      <c r="M887" s="79"/>
      <c r="N887" s="79"/>
      <c r="O887" s="91"/>
      <c r="P887" s="92"/>
    </row>
    <row r="888" spans="2:16" s="146" customFormat="1" ht="18" hidden="1" customHeight="1" x14ac:dyDescent="0.25">
      <c r="C888" s="336"/>
      <c r="D888" s="81"/>
      <c r="E888" s="81"/>
      <c r="F888" s="81"/>
      <c r="G888" s="81"/>
      <c r="H888" s="330"/>
      <c r="I888" s="167"/>
      <c r="J888" s="167"/>
      <c r="K888" s="344"/>
      <c r="L888" s="339"/>
      <c r="M888" s="169"/>
      <c r="N888" s="169"/>
      <c r="O888" s="343"/>
      <c r="P888" s="93"/>
    </row>
    <row r="889" spans="2:16" s="146" customFormat="1" ht="18" hidden="1" customHeight="1" x14ac:dyDescent="0.25">
      <c r="C889" s="336"/>
      <c r="D889" s="333"/>
      <c r="E889" s="333"/>
      <c r="F889" s="333"/>
      <c r="G889" s="333"/>
      <c r="H889" s="330"/>
      <c r="I889" s="330"/>
      <c r="J889" s="330"/>
      <c r="K889" s="330"/>
      <c r="L889" s="330"/>
      <c r="M889" s="330"/>
      <c r="N889" s="330"/>
      <c r="O889" s="94"/>
      <c r="P889" s="93"/>
    </row>
    <row r="890" spans="2:16" s="146" customFormat="1" ht="18" hidden="1" customHeight="1" x14ac:dyDescent="0.25">
      <c r="C890" s="202"/>
      <c r="D890" s="81"/>
      <c r="E890" s="81"/>
      <c r="F890" s="81"/>
      <c r="G890" s="81"/>
      <c r="H890" s="81"/>
      <c r="I890" s="167"/>
      <c r="J890" s="168"/>
      <c r="K890" s="167"/>
      <c r="L890" s="168"/>
      <c r="M890" s="169"/>
      <c r="N890" s="169"/>
      <c r="O890" s="169"/>
      <c r="P890" s="93"/>
    </row>
    <row r="891" spans="2:16" s="146" customFormat="1" ht="18" hidden="1" customHeight="1" x14ac:dyDescent="0.25">
      <c r="C891" s="202"/>
      <c r="D891" s="81"/>
      <c r="E891" s="81"/>
      <c r="F891" s="81"/>
      <c r="G891" s="81"/>
      <c r="H891" s="81"/>
      <c r="I891" s="167"/>
      <c r="J891" s="168"/>
      <c r="K891" s="167"/>
      <c r="L891" s="168"/>
      <c r="M891" s="169"/>
      <c r="N891" s="169"/>
      <c r="O891" s="169"/>
      <c r="P891" s="93"/>
    </row>
    <row r="892" spans="2:16" s="146" customFormat="1" ht="18" hidden="1" customHeight="1" x14ac:dyDescent="0.25">
      <c r="C892" s="202"/>
      <c r="D892" s="81"/>
      <c r="E892" s="81"/>
      <c r="F892" s="81"/>
      <c r="G892" s="81"/>
      <c r="H892" s="81"/>
      <c r="I892" s="167"/>
      <c r="J892" s="168"/>
      <c r="K892" s="167"/>
      <c r="L892" s="168"/>
      <c r="M892" s="169"/>
      <c r="N892" s="169"/>
      <c r="O892" s="169"/>
      <c r="P892" s="93"/>
    </row>
    <row r="893" spans="2:16" s="146" customFormat="1" ht="18" hidden="1" customHeight="1" x14ac:dyDescent="0.25">
      <c r="C893" s="202"/>
      <c r="D893" s="81"/>
      <c r="E893" s="81"/>
      <c r="F893" s="81"/>
      <c r="G893" s="81"/>
      <c r="H893" s="81"/>
      <c r="I893" s="167"/>
      <c r="J893" s="168"/>
      <c r="K893" s="167"/>
      <c r="L893" s="168"/>
      <c r="M893" s="169"/>
      <c r="N893" s="169"/>
      <c r="O893" s="169"/>
      <c r="P893" s="93"/>
    </row>
    <row r="894" spans="2:16" s="146" customFormat="1" ht="18" hidden="1" customHeight="1" x14ac:dyDescent="0.25">
      <c r="C894" s="202"/>
      <c r="D894" s="81"/>
      <c r="E894" s="81"/>
      <c r="F894" s="81"/>
      <c r="G894" s="81"/>
      <c r="H894" s="81"/>
      <c r="I894" s="167"/>
      <c r="J894" s="168"/>
      <c r="K894" s="167"/>
      <c r="L894" s="168"/>
      <c r="M894" s="169"/>
      <c r="N894" s="169"/>
      <c r="O894" s="169"/>
      <c r="P894" s="93"/>
    </row>
    <row r="895" spans="2:16" s="146" customFormat="1" ht="18" hidden="1" customHeight="1" x14ac:dyDescent="0.25">
      <c r="C895" s="202"/>
      <c r="D895" s="81"/>
      <c r="E895" s="81"/>
      <c r="F895" s="81"/>
      <c r="G895" s="81"/>
      <c r="H895" s="81"/>
      <c r="I895" s="167"/>
      <c r="J895" s="168"/>
      <c r="K895" s="167"/>
      <c r="L895" s="168"/>
      <c r="M895" s="169"/>
      <c r="N895" s="169"/>
      <c r="O895" s="169"/>
      <c r="P895" s="93"/>
    </row>
    <row r="896" spans="2:16" s="146" customFormat="1" ht="18" hidden="1" customHeight="1" x14ac:dyDescent="0.25">
      <c r="C896" s="80"/>
      <c r="D896" s="81"/>
      <c r="E896" s="330"/>
      <c r="F896" s="330"/>
      <c r="G896" s="330"/>
      <c r="H896" s="330"/>
      <c r="I896" s="330"/>
      <c r="J896" s="330"/>
      <c r="K896" s="330"/>
      <c r="L896" s="330"/>
      <c r="M896" s="330"/>
      <c r="N896" s="330"/>
      <c r="O896" s="94"/>
      <c r="P896" s="93"/>
    </row>
    <row r="897" spans="2:16" s="146" customFormat="1" ht="18" hidden="1" customHeight="1" x14ac:dyDescent="0.25">
      <c r="C897" s="80"/>
      <c r="D897" s="180"/>
      <c r="E897" s="180"/>
      <c r="F897" s="180"/>
      <c r="G897" s="180"/>
      <c r="H897" s="180"/>
      <c r="I897" s="180"/>
      <c r="J897" s="180"/>
      <c r="K897" s="180"/>
      <c r="L897" s="328"/>
      <c r="M897" s="181"/>
      <c r="N897" s="182"/>
      <c r="O897" s="95"/>
      <c r="P897" s="93"/>
    </row>
    <row r="898" spans="2:16" s="146" customFormat="1" ht="18" hidden="1" customHeight="1" x14ac:dyDescent="0.25">
      <c r="C898" s="80"/>
      <c r="D898" s="331"/>
      <c r="E898" s="331"/>
      <c r="F898" s="331"/>
      <c r="G898" s="331"/>
      <c r="H898" s="331"/>
      <c r="I898" s="331"/>
      <c r="J898" s="331"/>
      <c r="K898" s="331"/>
      <c r="L898" s="328"/>
      <c r="M898" s="332"/>
      <c r="N898" s="328"/>
      <c r="O898" s="95"/>
      <c r="P898" s="93"/>
    </row>
    <row r="899" spans="2:16" s="146" customFormat="1" ht="18" hidden="1" customHeight="1" x14ac:dyDescent="0.25">
      <c r="C899" s="80"/>
      <c r="D899" s="331"/>
      <c r="E899" s="331"/>
      <c r="F899" s="331"/>
      <c r="G899" s="331"/>
      <c r="H899" s="331"/>
      <c r="I899" s="331"/>
      <c r="J899" s="331"/>
      <c r="K899" s="331"/>
      <c r="L899" s="328"/>
      <c r="M899" s="332"/>
      <c r="N899" s="328"/>
      <c r="O899" s="95"/>
      <c r="P899" s="93"/>
    </row>
    <row r="900" spans="2:16" s="146" customFormat="1" ht="18" hidden="1" customHeight="1" x14ac:dyDescent="0.25">
      <c r="C900" s="80"/>
      <c r="D900" s="331"/>
      <c r="E900" s="331"/>
      <c r="F900" s="331"/>
      <c r="G900" s="331"/>
      <c r="H900" s="331"/>
      <c r="I900" s="331"/>
      <c r="J900" s="331"/>
      <c r="K900" s="331"/>
      <c r="L900" s="328"/>
      <c r="M900" s="332"/>
      <c r="N900" s="328"/>
      <c r="O900" s="95"/>
      <c r="P900" s="93"/>
    </row>
    <row r="901" spans="2:16" s="146" customFormat="1" ht="9.9499999999999993" hidden="1" customHeight="1" thickBot="1" x14ac:dyDescent="0.3">
      <c r="C901" s="80"/>
      <c r="D901" s="81"/>
      <c r="E901" s="81"/>
      <c r="F901" s="81"/>
      <c r="G901" s="81"/>
      <c r="H901" s="81"/>
      <c r="I901" s="81"/>
      <c r="J901" s="81"/>
      <c r="K901" s="81"/>
      <c r="L901" s="81"/>
      <c r="M901" s="81"/>
      <c r="N901" s="81"/>
      <c r="O901" s="96"/>
      <c r="P901" s="97"/>
    </row>
    <row r="902" spans="2:16" s="146" customFormat="1" ht="18" hidden="1" customHeight="1" x14ac:dyDescent="0.25">
      <c r="B902" s="31" t="s">
        <v>34</v>
      </c>
      <c r="C902" s="29"/>
      <c r="E902" s="30"/>
      <c r="F902" s="30"/>
      <c r="G902" s="1041" t="s">
        <v>343</v>
      </c>
      <c r="H902" s="1042"/>
      <c r="I902" s="1042"/>
      <c r="J902" s="1043"/>
      <c r="K902" s="1085">
        <f>'[25]MEMÓRIA DE CÁLCULO'!$K$957</f>
        <v>1637</v>
      </c>
      <c r="L902" s="1086"/>
      <c r="M902" s="18"/>
      <c r="N902" s="18"/>
      <c r="O902" s="98"/>
      <c r="P902" s="99"/>
    </row>
    <row r="903" spans="2:16" s="146" customFormat="1" ht="18" hidden="1" customHeight="1" x14ac:dyDescent="0.25">
      <c r="B903" s="31" t="str">
        <f>C886</f>
        <v>3.2</v>
      </c>
      <c r="C903" s="29"/>
      <c r="E903" s="30"/>
      <c r="F903" s="30"/>
      <c r="G903" s="1082" t="s">
        <v>344</v>
      </c>
      <c r="H903" s="1083"/>
      <c r="I903" s="1083"/>
      <c r="J903" s="1084"/>
      <c r="K903" s="1075">
        <f>K902+O887</f>
        <v>1637</v>
      </c>
      <c r="L903" s="1076"/>
      <c r="M903" s="18"/>
      <c r="N903" s="18"/>
      <c r="O903" s="98"/>
      <c r="P903" s="99"/>
    </row>
    <row r="904" spans="2:16" s="146" customFormat="1" ht="18" hidden="1" customHeight="1" x14ac:dyDescent="0.25">
      <c r="C904" s="29"/>
      <c r="D904" s="30"/>
      <c r="E904" s="30"/>
      <c r="F904" s="30"/>
      <c r="G904" s="1082" t="s">
        <v>345</v>
      </c>
      <c r="H904" s="1083"/>
      <c r="I904" s="1083"/>
      <c r="J904" s="1084"/>
      <c r="K904" s="1075">
        <f>'BM DETALHADO'!E67</f>
        <v>1637</v>
      </c>
      <c r="L904" s="1076"/>
      <c r="M904" s="18"/>
      <c r="N904" s="18"/>
      <c r="O904" s="98"/>
      <c r="P904" s="99"/>
    </row>
    <row r="905" spans="2:16" s="146" customFormat="1" ht="18" hidden="1" customHeight="1" thickBot="1" x14ac:dyDescent="0.3">
      <c r="C905" s="29"/>
      <c r="D905" s="30"/>
      <c r="E905" s="30"/>
      <c r="F905" s="30"/>
      <c r="G905" s="1077" t="s">
        <v>346</v>
      </c>
      <c r="H905" s="1078"/>
      <c r="I905" s="1078"/>
      <c r="J905" s="1079"/>
      <c r="K905" s="1068">
        <f>K904-K903</f>
        <v>0</v>
      </c>
      <c r="L905" s="1069"/>
      <c r="M905" s="18"/>
      <c r="N905" s="18"/>
      <c r="O905" s="98"/>
      <c r="P905" s="99"/>
    </row>
    <row r="906" spans="2:16" s="146" customFormat="1" ht="9.9499999999999993" hidden="1" customHeight="1" thickBot="1" x14ac:dyDescent="0.3">
      <c r="C906" s="21"/>
      <c r="D906" s="22"/>
      <c r="E906" s="22"/>
      <c r="F906" s="22"/>
      <c r="G906" s="360"/>
      <c r="H906" s="360"/>
      <c r="I906" s="360"/>
      <c r="J906" s="360"/>
      <c r="K906" s="361"/>
      <c r="L906" s="361"/>
      <c r="M906" s="22"/>
      <c r="N906" s="22"/>
      <c r="O906" s="100"/>
      <c r="P906" s="101"/>
    </row>
    <row r="907" spans="2:16" s="146" customFormat="1" ht="18" customHeight="1" x14ac:dyDescent="0.25">
      <c r="C907" s="20" t="s">
        <v>34</v>
      </c>
      <c r="D907" s="1052" t="s">
        <v>35</v>
      </c>
      <c r="E907" s="1053"/>
      <c r="F907" s="1053"/>
      <c r="G907" s="1053"/>
      <c r="H907" s="1053"/>
      <c r="I907" s="1053"/>
      <c r="J907" s="1053"/>
      <c r="K907" s="1053"/>
      <c r="L907" s="1053"/>
      <c r="M907" s="1054"/>
      <c r="N907" s="145" t="s">
        <v>0</v>
      </c>
      <c r="O907" s="1107" t="s">
        <v>4</v>
      </c>
      <c r="P907" s="1108"/>
    </row>
    <row r="908" spans="2:16" s="146" customFormat="1" ht="69.95" customHeight="1" thickBot="1" x14ac:dyDescent="0.3">
      <c r="C908" s="85" t="s">
        <v>176</v>
      </c>
      <c r="D908" s="1070" t="str">
        <f>VLOOKUP(C908,'BM DETALHADO'!$B$13:$D$126,2,FALSE)</f>
        <v>PROTEÇÃO DE PISO COM LONA PLASTICA, SACO DE RÁFIA E GESSO</v>
      </c>
      <c r="E908" s="1071"/>
      <c r="F908" s="1071"/>
      <c r="G908" s="1071"/>
      <c r="H908" s="1071"/>
      <c r="I908" s="1071"/>
      <c r="J908" s="1071"/>
      <c r="K908" s="1071"/>
      <c r="L908" s="1071"/>
      <c r="M908" s="1072"/>
      <c r="N908" s="19" t="str">
        <f>VLOOKUP(C908,'BM DETALHADO'!$B$13:$D$126,3,FALSE)</f>
        <v>M2</v>
      </c>
      <c r="O908" s="1109"/>
      <c r="P908" s="1110"/>
    </row>
    <row r="909" spans="2:16" s="146" customFormat="1" ht="9.9499999999999993" customHeight="1" x14ac:dyDescent="0.25">
      <c r="C909" s="77"/>
      <c r="D909" s="78"/>
      <c r="E909" s="79"/>
      <c r="F909" s="79"/>
      <c r="G909" s="79"/>
      <c r="H909" s="79"/>
      <c r="I909" s="79"/>
      <c r="J909" s="79"/>
      <c r="K909" s="79"/>
      <c r="L909" s="79"/>
      <c r="M909" s="79"/>
      <c r="N909" s="79"/>
      <c r="O909" s="91"/>
      <c r="P909" s="92"/>
    </row>
    <row r="910" spans="2:16" s="146" customFormat="1" ht="18" customHeight="1" x14ac:dyDescent="0.25">
      <c r="C910" s="336"/>
      <c r="D910" s="219" t="s">
        <v>34</v>
      </c>
      <c r="E910" s="1037" t="s">
        <v>308</v>
      </c>
      <c r="F910" s="1037"/>
      <c r="G910" s="219" t="s">
        <v>327</v>
      </c>
      <c r="H910" s="804" t="s">
        <v>309</v>
      </c>
      <c r="I910" s="804" t="s">
        <v>291</v>
      </c>
      <c r="J910" s="804" t="s">
        <v>279</v>
      </c>
      <c r="K910" s="219"/>
      <c r="L910" s="219"/>
      <c r="M910" s="219"/>
      <c r="N910" s="219"/>
      <c r="O910" s="219"/>
      <c r="P910" s="374"/>
    </row>
    <row r="911" spans="2:16" s="146" customFormat="1" ht="18" customHeight="1" x14ac:dyDescent="0.25">
      <c r="C911" s="336"/>
      <c r="D911" s="803">
        <v>1</v>
      </c>
      <c r="E911" s="1040" t="s">
        <v>453</v>
      </c>
      <c r="F911" s="1040"/>
      <c r="G911" s="263">
        <v>8</v>
      </c>
      <c r="H911" s="263">
        <v>3.45</v>
      </c>
      <c r="I911" s="681">
        <f>G911*H911</f>
        <v>27.6</v>
      </c>
      <c r="J911" s="803" t="s">
        <v>292</v>
      </c>
      <c r="K911" s="804"/>
      <c r="L911" s="804"/>
      <c r="M911" s="211"/>
      <c r="N911" s="211"/>
      <c r="O911" s="211"/>
      <c r="P911" s="93"/>
    </row>
    <row r="912" spans="2:16" s="146" customFormat="1" ht="18" customHeight="1" x14ac:dyDescent="0.25">
      <c r="C912" s="202"/>
      <c r="D912" s="803">
        <v>2</v>
      </c>
      <c r="E912" s="1040" t="s">
        <v>454</v>
      </c>
      <c r="F912" s="1040"/>
      <c r="G912" s="263">
        <v>3.6</v>
      </c>
      <c r="H912" s="263">
        <v>3.45</v>
      </c>
      <c r="I912" s="681">
        <f>G912*H912</f>
        <v>12.420000000000002</v>
      </c>
      <c r="J912" s="805" t="s">
        <v>292</v>
      </c>
      <c r="K912" s="263"/>
      <c r="L912" s="803"/>
      <c r="M912" s="211"/>
      <c r="N912" s="211"/>
      <c r="O912" s="211"/>
      <c r="P912" s="93"/>
    </row>
    <row r="913" spans="2:16" s="146" customFormat="1" ht="18" customHeight="1" x14ac:dyDescent="0.25">
      <c r="C913" s="202"/>
      <c r="D913" s="1037" t="s">
        <v>19</v>
      </c>
      <c r="E913" s="1037"/>
      <c r="F913" s="1037"/>
      <c r="G913" s="1037"/>
      <c r="H913" s="1037"/>
      <c r="I913" s="299">
        <f>SUM(I911:I912)</f>
        <v>40.020000000000003</v>
      </c>
      <c r="J913" s="817" t="s">
        <v>292</v>
      </c>
      <c r="K913" s="263"/>
      <c r="L913" s="803"/>
      <c r="M913" s="211"/>
      <c r="N913" s="211"/>
      <c r="O913" s="211"/>
      <c r="P913" s="93"/>
    </row>
    <row r="914" spans="2:16" s="611" customFormat="1" ht="18" customHeight="1" x14ac:dyDescent="0.25">
      <c r="C914" s="202"/>
      <c r="D914" s="803"/>
      <c r="E914" s="803"/>
      <c r="F914" s="803"/>
      <c r="G914" s="803"/>
      <c r="H914" s="803"/>
      <c r="I914" s="263"/>
      <c r="J914" s="263"/>
      <c r="K914" s="263"/>
      <c r="L914" s="803"/>
      <c r="M914" s="211"/>
      <c r="N914" s="211"/>
      <c r="O914" s="211"/>
      <c r="P914" s="93"/>
    </row>
    <row r="915" spans="2:16" s="146" customFormat="1" ht="18" customHeight="1" x14ac:dyDescent="0.25">
      <c r="C915" s="202"/>
      <c r="D915" s="211"/>
      <c r="E915" s="211"/>
      <c r="F915" s="211"/>
      <c r="G915" s="211"/>
      <c r="H915" s="211"/>
      <c r="I915" s="211"/>
      <c r="J915" s="263"/>
      <c r="K915" s="263"/>
      <c r="L915" s="803"/>
      <c r="M915" s="211"/>
      <c r="N915" s="211"/>
      <c r="O915" s="211"/>
      <c r="P915" s="93"/>
    </row>
    <row r="916" spans="2:16" s="611" customFormat="1" ht="18" customHeight="1" x14ac:dyDescent="0.25">
      <c r="C916" s="202"/>
      <c r="D916" s="803"/>
      <c r="E916" s="803"/>
      <c r="F916" s="803"/>
      <c r="G916" s="803"/>
      <c r="H916" s="803"/>
      <c r="I916" s="211"/>
      <c r="J916" s="263"/>
      <c r="K916" s="263"/>
      <c r="L916" s="803"/>
      <c r="M916" s="211"/>
      <c r="N916" s="211"/>
      <c r="O916" s="211"/>
      <c r="P916" s="93"/>
    </row>
    <row r="917" spans="2:16" s="611" customFormat="1" ht="18" customHeight="1" x14ac:dyDescent="0.25">
      <c r="C917" s="202"/>
      <c r="D917" s="803"/>
      <c r="E917" s="803"/>
      <c r="F917" s="803"/>
      <c r="G917" s="803"/>
      <c r="H917" s="803"/>
      <c r="I917" s="211"/>
      <c r="J917" s="263"/>
      <c r="K917" s="263"/>
      <c r="L917" s="803"/>
      <c r="M917" s="211"/>
      <c r="N917" s="211"/>
      <c r="O917" s="211"/>
      <c r="P917" s="93"/>
    </row>
    <row r="918" spans="2:16" s="611" customFormat="1" ht="18" customHeight="1" x14ac:dyDescent="0.25">
      <c r="C918" s="202"/>
      <c r="D918" s="803"/>
      <c r="E918" s="803"/>
      <c r="F918" s="803"/>
      <c r="G918" s="803"/>
      <c r="H918" s="803"/>
      <c r="I918" s="211"/>
      <c r="J918" s="263"/>
      <c r="K918" s="263"/>
      <c r="L918" s="803"/>
      <c r="M918" s="211"/>
      <c r="N918" s="211"/>
      <c r="O918" s="211"/>
      <c r="P918" s="93"/>
    </row>
    <row r="919" spans="2:16" s="146" customFormat="1" ht="18" customHeight="1" x14ac:dyDescent="0.25">
      <c r="C919" s="202"/>
      <c r="D919" s="219"/>
      <c r="E919" s="219"/>
      <c r="F919" s="219"/>
      <c r="G919" s="219"/>
      <c r="H919" s="219"/>
      <c r="I919" s="219"/>
      <c r="J919" s="219"/>
      <c r="K919" s="299"/>
      <c r="L919" s="804"/>
      <c r="M919" s="211"/>
      <c r="N919" s="211"/>
      <c r="O919" s="211"/>
      <c r="P919" s="93"/>
    </row>
    <row r="920" spans="2:16" s="146" customFormat="1" ht="18" customHeight="1" x14ac:dyDescent="0.25">
      <c r="C920" s="202"/>
      <c r="D920" s="521"/>
      <c r="E920" s="521"/>
      <c r="F920" s="521"/>
      <c r="G920" s="521"/>
      <c r="H920" s="521"/>
      <c r="I920" s="521"/>
      <c r="J920" s="521"/>
      <c r="K920" s="521"/>
      <c r="L920" s="521"/>
      <c r="M920" s="521"/>
      <c r="N920" s="521"/>
      <c r="O920" s="521"/>
      <c r="P920" s="93"/>
    </row>
    <row r="921" spans="2:16" s="146" customFormat="1" ht="18" customHeight="1" x14ac:dyDescent="0.25">
      <c r="C921" s="80"/>
      <c r="D921" s="521"/>
      <c r="E921" s="521"/>
      <c r="F921" s="521"/>
      <c r="G921" s="521"/>
      <c r="H921" s="521"/>
      <c r="I921" s="521"/>
      <c r="J921" s="521"/>
      <c r="K921" s="521"/>
      <c r="L921" s="521"/>
      <c r="M921" s="618"/>
      <c r="N921" s="618"/>
      <c r="O921" s="618"/>
      <c r="P921" s="751"/>
    </row>
    <row r="922" spans="2:16" s="146" customFormat="1" ht="18" customHeight="1" x14ac:dyDescent="0.25">
      <c r="C922" s="80"/>
      <c r="D922" s="521"/>
      <c r="E922" s="521"/>
      <c r="F922" s="521"/>
      <c r="G922" s="521"/>
      <c r="H922" s="521"/>
      <c r="I922" s="521"/>
      <c r="J922" s="521"/>
      <c r="K922" s="521"/>
      <c r="L922" s="521"/>
      <c r="M922" s="618"/>
      <c r="N922" s="618"/>
      <c r="O922" s="618"/>
      <c r="P922" s="751"/>
    </row>
    <row r="923" spans="2:16" s="146" customFormat="1" ht="18" customHeight="1" x14ac:dyDescent="0.25">
      <c r="C923" s="80"/>
      <c r="D923" s="211"/>
      <c r="E923" s="211"/>
      <c r="F923" s="211"/>
      <c r="G923" s="211"/>
      <c r="H923" s="211"/>
      <c r="I923" s="211"/>
      <c r="J923" s="211"/>
      <c r="K923" s="211"/>
      <c r="L923" s="211"/>
      <c r="M923" s="618"/>
      <c r="N923" s="618"/>
      <c r="O923" s="618"/>
      <c r="P923" s="751"/>
    </row>
    <row r="924" spans="2:16" s="146" customFormat="1" ht="18" customHeight="1" x14ac:dyDescent="0.25">
      <c r="C924" s="80"/>
      <c r="D924" s="211"/>
      <c r="E924" s="211"/>
      <c r="F924" s="211"/>
      <c r="G924" s="211"/>
      <c r="H924" s="211"/>
      <c r="I924" s="211"/>
      <c r="J924" s="211"/>
      <c r="K924" s="211"/>
      <c r="L924" s="211"/>
      <c r="M924" s="1115" t="s">
        <v>455</v>
      </c>
      <c r="N924" s="1115"/>
      <c r="O924" s="1115"/>
      <c r="P924" s="1116"/>
    </row>
    <row r="925" spans="2:16" s="146" customFormat="1" ht="9.9499999999999993" customHeight="1" thickBot="1" x14ac:dyDescent="0.3">
      <c r="C925" s="80"/>
      <c r="D925" s="211"/>
      <c r="E925" s="211"/>
      <c r="F925" s="211"/>
      <c r="G925" s="211"/>
      <c r="H925" s="211"/>
      <c r="I925" s="211"/>
      <c r="J925" s="211"/>
      <c r="K925" s="211"/>
      <c r="L925" s="211"/>
      <c r="M925" s="1115"/>
      <c r="N925" s="1115"/>
      <c r="O925" s="1115"/>
      <c r="P925" s="1116"/>
    </row>
    <row r="926" spans="2:16" s="146" customFormat="1" ht="18" customHeight="1" x14ac:dyDescent="0.25">
      <c r="B926" s="31" t="s">
        <v>34</v>
      </c>
      <c r="C926" s="29"/>
      <c r="D926" s="211"/>
      <c r="E926" s="211"/>
      <c r="F926" s="211"/>
      <c r="G926" s="1041" t="s">
        <v>343</v>
      </c>
      <c r="H926" s="1042"/>
      <c r="I926" s="1042"/>
      <c r="J926" s="1043"/>
      <c r="K926" s="1085">
        <f>'[25]MEMÓRIA DE CÁLCULO'!$K$981</f>
        <v>596.72</v>
      </c>
      <c r="L926" s="1086"/>
      <c r="M926" s="1115"/>
      <c r="N926" s="1115"/>
      <c r="O926" s="1115"/>
      <c r="P926" s="1116"/>
    </row>
    <row r="927" spans="2:16" s="146" customFormat="1" ht="18" customHeight="1" x14ac:dyDescent="0.25">
      <c r="B927" s="31" t="str">
        <f>C908</f>
        <v>3.3</v>
      </c>
      <c r="C927" s="29"/>
      <c r="D927" s="211"/>
      <c r="E927" s="211"/>
      <c r="F927" s="211"/>
      <c r="G927" s="1082" t="s">
        <v>344</v>
      </c>
      <c r="H927" s="1083"/>
      <c r="I927" s="1083"/>
      <c r="J927" s="1084"/>
      <c r="K927" s="1075">
        <f>K926+O908</f>
        <v>596.72</v>
      </c>
      <c r="L927" s="1076"/>
      <c r="M927" s="1115"/>
      <c r="N927" s="1115"/>
      <c r="O927" s="1115"/>
      <c r="P927" s="1116"/>
    </row>
    <row r="928" spans="2:16" s="146" customFormat="1" ht="18" customHeight="1" x14ac:dyDescent="0.25">
      <c r="C928" s="29"/>
      <c r="D928" s="30"/>
      <c r="E928" s="30"/>
      <c r="F928" s="30"/>
      <c r="G928" s="1082" t="s">
        <v>345</v>
      </c>
      <c r="H928" s="1083"/>
      <c r="I928" s="1083"/>
      <c r="J928" s="1084"/>
      <c r="K928" s="1075">
        <f>'BM DETALHADO'!E68</f>
        <v>596.72</v>
      </c>
      <c r="L928" s="1076"/>
      <c r="M928" s="1115"/>
      <c r="N928" s="1115"/>
      <c r="O928" s="1115"/>
      <c r="P928" s="1116"/>
    </row>
    <row r="929" spans="2:16" s="146" customFormat="1" ht="18" customHeight="1" thickBot="1" x14ac:dyDescent="0.3">
      <c r="C929" s="29"/>
      <c r="D929" s="30"/>
      <c r="E929" s="30"/>
      <c r="F929" s="30"/>
      <c r="G929" s="1077" t="s">
        <v>346</v>
      </c>
      <c r="H929" s="1078"/>
      <c r="I929" s="1078"/>
      <c r="J929" s="1079"/>
      <c r="K929" s="1068">
        <f>K928-K927</f>
        <v>0</v>
      </c>
      <c r="L929" s="1069"/>
      <c r="M929" s="1115"/>
      <c r="N929" s="1115"/>
      <c r="O929" s="1115"/>
      <c r="P929" s="1116"/>
    </row>
    <row r="930" spans="2:16" s="146" customFormat="1" ht="9.9499999999999993" customHeight="1" thickBot="1" x14ac:dyDescent="0.3">
      <c r="C930" s="21"/>
      <c r="D930" s="22"/>
      <c r="E930" s="22"/>
      <c r="F930" s="22"/>
      <c r="G930" s="360"/>
      <c r="H930" s="360"/>
      <c r="I930" s="360"/>
      <c r="J930" s="360"/>
      <c r="K930" s="361"/>
      <c r="L930" s="361"/>
      <c r="M930" s="1366"/>
      <c r="N930" s="1366"/>
      <c r="O930" s="1366"/>
      <c r="P930" s="1367"/>
    </row>
    <row r="931" spans="2:16" s="146" customFormat="1" ht="18" hidden="1" customHeight="1" x14ac:dyDescent="0.25">
      <c r="C931" s="20" t="s">
        <v>34</v>
      </c>
      <c r="D931" s="1052" t="s">
        <v>35</v>
      </c>
      <c r="E931" s="1053"/>
      <c r="F931" s="1053"/>
      <c r="G931" s="1053"/>
      <c r="H931" s="1053"/>
      <c r="I931" s="1053"/>
      <c r="J931" s="1053"/>
      <c r="K931" s="1053"/>
      <c r="L931" s="1053"/>
      <c r="M931" s="1054"/>
      <c r="N931" s="145" t="s">
        <v>0</v>
      </c>
      <c r="O931" s="1107" t="s">
        <v>4</v>
      </c>
      <c r="P931" s="1108"/>
    </row>
    <row r="932" spans="2:16" s="146" customFormat="1" ht="69.95" hidden="1" customHeight="1" thickBot="1" x14ac:dyDescent="0.3">
      <c r="C932" s="85" t="s">
        <v>177</v>
      </c>
      <c r="D932" s="1070" t="str">
        <f>VLOOKUP(C932,'BM DETALHADO'!$B$13:$D$126,2,FALSE)</f>
        <v>IMUNIZAÇÃO DE FORROS DE TAQUARA TRANÇADA E DE MADEIRA   EM AMBOS OS LADOS , RETIRANDO LIMPEZA INCLUINDO A REGIÃO SUPERIOR POR PASSAGEM NO TELHADO E SEM DESMONTAGEM DO FORRO, INCLUSIVE O DO CORREDOR ( SACADA ) .</v>
      </c>
      <c r="E932" s="1071"/>
      <c r="F932" s="1071"/>
      <c r="G932" s="1071"/>
      <c r="H932" s="1071"/>
      <c r="I932" s="1071"/>
      <c r="J932" s="1071"/>
      <c r="K932" s="1071"/>
      <c r="L932" s="1071"/>
      <c r="M932" s="1072"/>
      <c r="N932" s="19" t="str">
        <f>VLOOKUP(C932,'BM DETALHADO'!$B$13:$D$126,3,FALSE)</f>
        <v>M2</v>
      </c>
      <c r="O932" s="1109"/>
      <c r="P932" s="1187"/>
    </row>
    <row r="933" spans="2:16" s="146" customFormat="1" ht="9.9499999999999993" hidden="1" customHeight="1" x14ac:dyDescent="0.25">
      <c r="C933" s="77"/>
      <c r="D933" s="78"/>
      <c r="E933" s="79"/>
      <c r="F933" s="79"/>
      <c r="G933" s="79"/>
      <c r="H933" s="79"/>
      <c r="I933" s="79"/>
      <c r="J933" s="79"/>
      <c r="K933" s="79"/>
      <c r="L933" s="79"/>
      <c r="M933" s="79"/>
      <c r="N933" s="79"/>
      <c r="O933" s="91"/>
      <c r="P933" s="92"/>
    </row>
    <row r="934" spans="2:16" s="146" customFormat="1" ht="18" hidden="1" customHeight="1" x14ac:dyDescent="0.25">
      <c r="C934" s="336"/>
      <c r="D934" s="81"/>
      <c r="E934" s="81"/>
      <c r="F934" s="81"/>
      <c r="G934" s="81"/>
      <c r="H934" s="81"/>
      <c r="I934" s="167"/>
      <c r="J934" s="168"/>
      <c r="K934" s="167"/>
      <c r="L934" s="168"/>
      <c r="M934" s="169"/>
      <c r="N934" s="169"/>
      <c r="O934" s="169"/>
      <c r="P934" s="93"/>
    </row>
    <row r="935" spans="2:16" s="146" customFormat="1" ht="18" hidden="1" customHeight="1" x14ac:dyDescent="0.25">
      <c r="C935" s="80"/>
      <c r="E935" s="774"/>
      <c r="F935" s="774"/>
      <c r="G935" s="774"/>
      <c r="H935" s="774"/>
      <c r="I935" s="774"/>
      <c r="J935" s="774"/>
      <c r="K935" s="774"/>
      <c r="L935" s="774"/>
      <c r="M935" s="774"/>
      <c r="N935" s="774"/>
      <c r="O935" s="774"/>
      <c r="P935" s="93"/>
    </row>
    <row r="936" spans="2:16" s="146" customFormat="1" ht="18" hidden="1" customHeight="1" x14ac:dyDescent="0.25">
      <c r="C936" s="80"/>
      <c r="D936" s="180"/>
      <c r="E936" s="774"/>
      <c r="F936" s="774"/>
      <c r="G936" s="774"/>
      <c r="H936" s="774"/>
      <c r="I936" s="774"/>
      <c r="J936" s="774"/>
      <c r="K936" s="774"/>
      <c r="L936" s="774"/>
      <c r="M936" s="774"/>
      <c r="N936" s="774"/>
      <c r="O936" s="774"/>
      <c r="P936" s="93"/>
    </row>
    <row r="937" spans="2:16" s="146" customFormat="1" ht="18" hidden="1" customHeight="1" x14ac:dyDescent="0.25">
      <c r="C937" s="80"/>
      <c r="D937" s="282"/>
      <c r="E937" s="774"/>
      <c r="F937" s="774"/>
      <c r="G937" s="774"/>
      <c r="H937" s="774"/>
      <c r="I937" s="774"/>
      <c r="J937" s="774"/>
      <c r="K937" s="774"/>
      <c r="L937" s="774"/>
      <c r="M937" s="774"/>
      <c r="N937" s="774"/>
      <c r="O937" s="774"/>
      <c r="P937" s="93"/>
    </row>
    <row r="938" spans="2:16" s="146" customFormat="1" ht="18" hidden="1" customHeight="1" x14ac:dyDescent="0.25">
      <c r="C938" s="80"/>
      <c r="D938" s="282"/>
      <c r="E938" s="774"/>
      <c r="F938" s="774"/>
      <c r="G938" s="774"/>
      <c r="H938" s="774"/>
      <c r="I938" s="774"/>
      <c r="J938" s="774"/>
      <c r="K938" s="774"/>
      <c r="L938" s="774"/>
      <c r="M938" s="774"/>
      <c r="N938" s="774"/>
      <c r="O938" s="774"/>
      <c r="P938" s="93"/>
    </row>
    <row r="939" spans="2:16" s="146" customFormat="1" ht="18" hidden="1" customHeight="1" x14ac:dyDescent="0.25">
      <c r="C939" s="80"/>
      <c r="D939" s="331"/>
      <c r="E939" s="331"/>
      <c r="F939" s="331"/>
      <c r="G939" s="331"/>
      <c r="H939" s="331"/>
      <c r="I939" s="331"/>
      <c r="J939" s="331"/>
      <c r="K939" s="331"/>
      <c r="L939" s="328"/>
      <c r="M939" s="332"/>
      <c r="N939" s="328"/>
      <c r="O939" s="95"/>
      <c r="P939" s="93"/>
    </row>
    <row r="940" spans="2:16" s="146" customFormat="1" ht="9.9499999999999993" hidden="1" customHeight="1" thickBot="1" x14ac:dyDescent="0.3">
      <c r="C940" s="80"/>
      <c r="D940" s="81"/>
      <c r="E940" s="81"/>
      <c r="F940" s="81"/>
      <c r="G940" s="81"/>
      <c r="H940" s="81"/>
      <c r="I940" s="81"/>
      <c r="J940" s="81"/>
      <c r="K940" s="81"/>
      <c r="L940" s="81"/>
      <c r="M940" s="81"/>
      <c r="N940" s="81"/>
      <c r="O940" s="96"/>
      <c r="P940" s="97"/>
    </row>
    <row r="941" spans="2:16" s="146" customFormat="1" ht="18" hidden="1" customHeight="1" x14ac:dyDescent="0.25">
      <c r="B941" s="31" t="s">
        <v>34</v>
      </c>
      <c r="C941" s="29"/>
      <c r="E941" s="30"/>
      <c r="F941" s="30"/>
      <c r="G941" s="1041" t="s">
        <v>343</v>
      </c>
      <c r="H941" s="1042"/>
      <c r="I941" s="1042"/>
      <c r="J941" s="1043"/>
      <c r="K941" s="1085">
        <f>'[25]MEMÓRIA DE CÁLCULO'!$K$1002</f>
        <v>283</v>
      </c>
      <c r="L941" s="1086"/>
      <c r="M941" s="18"/>
      <c r="N941" s="18"/>
      <c r="O941" s="98"/>
      <c r="P941" s="99"/>
    </row>
    <row r="942" spans="2:16" s="146" customFormat="1" ht="18" hidden="1" customHeight="1" x14ac:dyDescent="0.25">
      <c r="B942" s="31" t="str">
        <f>C932</f>
        <v>3.4</v>
      </c>
      <c r="C942" s="29"/>
      <c r="E942" s="30"/>
      <c r="F942" s="30"/>
      <c r="G942" s="1082" t="s">
        <v>344</v>
      </c>
      <c r="H942" s="1083"/>
      <c r="I942" s="1083"/>
      <c r="J942" s="1084"/>
      <c r="K942" s="1075">
        <f>K941+O929</f>
        <v>283</v>
      </c>
      <c r="L942" s="1076"/>
      <c r="M942" s="18"/>
      <c r="N942" s="18"/>
      <c r="O942" s="98"/>
      <c r="P942" s="99"/>
    </row>
    <row r="943" spans="2:16" s="146" customFormat="1" ht="18" hidden="1" customHeight="1" x14ac:dyDescent="0.25">
      <c r="C943" s="29"/>
      <c r="D943" s="30"/>
      <c r="E943" s="30"/>
      <c r="F943" s="30"/>
      <c r="G943" s="1082" t="s">
        <v>345</v>
      </c>
      <c r="H943" s="1083"/>
      <c r="I943" s="1083"/>
      <c r="J943" s="1084"/>
      <c r="K943" s="1075">
        <f>'BM DETALHADO'!E69</f>
        <v>283</v>
      </c>
      <c r="L943" s="1076"/>
      <c r="M943" s="18"/>
      <c r="N943" s="18"/>
      <c r="O943" s="98"/>
      <c r="P943" s="99"/>
    </row>
    <row r="944" spans="2:16" s="146" customFormat="1" ht="18" hidden="1" customHeight="1" thickBot="1" x14ac:dyDescent="0.3">
      <c r="C944" s="29"/>
      <c r="D944" s="30"/>
      <c r="E944" s="30"/>
      <c r="F944" s="30"/>
      <c r="G944" s="1077" t="s">
        <v>346</v>
      </c>
      <c r="H944" s="1078"/>
      <c r="I944" s="1078"/>
      <c r="J944" s="1079"/>
      <c r="K944" s="1068">
        <f>K943-K942</f>
        <v>0</v>
      </c>
      <c r="L944" s="1069"/>
      <c r="M944" s="18"/>
      <c r="N944" s="18"/>
      <c r="O944" s="98"/>
      <c r="P944" s="99"/>
    </row>
    <row r="945" spans="3:16" s="146" customFormat="1" ht="18" hidden="1" customHeight="1" x14ac:dyDescent="0.25">
      <c r="C945" s="29"/>
      <c r="D945" s="30"/>
      <c r="E945" s="30"/>
      <c r="F945" s="30"/>
      <c r="G945" s="363"/>
      <c r="H945" s="363"/>
      <c r="I945" s="363"/>
      <c r="J945" s="363"/>
      <c r="K945" s="364"/>
      <c r="L945" s="364"/>
      <c r="M945" s="18"/>
      <c r="N945" s="18"/>
      <c r="O945" s="98"/>
      <c r="P945" s="99"/>
    </row>
    <row r="946" spans="3:16" s="146" customFormat="1" ht="9.9499999999999993" hidden="1" customHeight="1" thickBot="1" x14ac:dyDescent="0.3">
      <c r="C946" s="21"/>
      <c r="D946" s="22"/>
      <c r="E946" s="22"/>
      <c r="F946" s="22"/>
      <c r="G946" s="27"/>
      <c r="H946" s="27"/>
      <c r="I946" s="27"/>
      <c r="J946" s="27"/>
      <c r="K946" s="28"/>
      <c r="L946" s="28"/>
      <c r="M946" s="22"/>
      <c r="N946" s="22"/>
      <c r="O946" s="100"/>
      <c r="P946" s="101"/>
    </row>
    <row r="947" spans="3:16" s="146" customFormat="1" ht="18" hidden="1" customHeight="1" x14ac:dyDescent="0.25">
      <c r="C947" s="20" t="s">
        <v>34</v>
      </c>
      <c r="D947" s="1052" t="s">
        <v>35</v>
      </c>
      <c r="E947" s="1053"/>
      <c r="F947" s="1053"/>
      <c r="G947" s="1053"/>
      <c r="H947" s="1053"/>
      <c r="I947" s="1053"/>
      <c r="J947" s="1053"/>
      <c r="K947" s="1053"/>
      <c r="L947" s="1053"/>
      <c r="M947" s="1054"/>
      <c r="N947" s="145" t="s">
        <v>0</v>
      </c>
      <c r="O947" s="1107" t="s">
        <v>4</v>
      </c>
      <c r="P947" s="1108"/>
    </row>
    <row r="948" spans="3:16" s="146" customFormat="1" ht="69.95" hidden="1" customHeight="1" thickBot="1" x14ac:dyDescent="0.3">
      <c r="C948" s="85" t="s">
        <v>179</v>
      </c>
      <c r="D948" s="1070" t="str">
        <f>VLOOKUP(C948,'BM DETALHADO'!$B$13:$D$126,2,FALSE)</f>
        <v>DESMONTAGEM DE PISOS DE MADEIRA , RETIRANDO LIMPANDO, CATALOGANDO E ARMAZENANDO  .</v>
      </c>
      <c r="E948" s="1071"/>
      <c r="F948" s="1071"/>
      <c r="G948" s="1071"/>
      <c r="H948" s="1071"/>
      <c r="I948" s="1071"/>
      <c r="J948" s="1071"/>
      <c r="K948" s="1071"/>
      <c r="L948" s="1071"/>
      <c r="M948" s="1072"/>
      <c r="N948" s="19" t="str">
        <f>VLOOKUP(C948,'BM DETALHADO'!$B$13:$D$126,3,FALSE)</f>
        <v>M2</v>
      </c>
      <c r="O948" s="1109"/>
      <c r="P948" s="1110"/>
    </row>
    <row r="949" spans="3:16" s="146" customFormat="1" ht="9.9499999999999993" hidden="1" customHeight="1" x14ac:dyDescent="0.25">
      <c r="C949" s="77"/>
      <c r="D949" s="78"/>
      <c r="E949" s="79"/>
      <c r="F949" s="79"/>
      <c r="G949" s="79"/>
      <c r="H949" s="79"/>
      <c r="I949" s="79"/>
      <c r="J949" s="79"/>
      <c r="K949" s="79"/>
      <c r="L949" s="79"/>
      <c r="M949" s="79"/>
      <c r="N949" s="79"/>
      <c r="O949" s="91"/>
      <c r="P949" s="92"/>
    </row>
    <row r="950" spans="3:16" s="146" customFormat="1" ht="18" hidden="1" customHeight="1" x14ac:dyDescent="0.25">
      <c r="C950" s="600"/>
      <c r="D950" s="182"/>
      <c r="E950" s="182"/>
      <c r="F950" s="182"/>
      <c r="G950" s="182"/>
      <c r="H950" s="182"/>
      <c r="I950" s="182"/>
      <c r="J950" s="182"/>
      <c r="K950" s="283"/>
      <c r="L950" s="283"/>
      <c r="M950" s="380"/>
      <c r="N950" s="380"/>
      <c r="O950" s="604"/>
      <c r="P950" s="93"/>
    </row>
    <row r="951" spans="3:16" s="146" customFormat="1" ht="18" hidden="1" customHeight="1" x14ac:dyDescent="0.25">
      <c r="C951" s="600"/>
      <c r="D951" s="182"/>
      <c r="E951" s="182"/>
      <c r="F951" s="182"/>
      <c r="G951" s="182"/>
      <c r="H951" s="182"/>
      <c r="I951" s="182"/>
      <c r="J951" s="182"/>
      <c r="K951" s="283"/>
      <c r="L951" s="283"/>
      <c r="M951" s="380"/>
      <c r="N951" s="605"/>
      <c r="O951" s="94"/>
      <c r="P951" s="93"/>
    </row>
    <row r="952" spans="3:16" s="146" customFormat="1" ht="18" hidden="1" customHeight="1" x14ac:dyDescent="0.25">
      <c r="C952" s="202"/>
      <c r="D952" s="182"/>
      <c r="E952" s="182"/>
      <c r="F952" s="182"/>
      <c r="G952" s="182"/>
      <c r="H952" s="182"/>
      <c r="I952" s="182"/>
      <c r="J952" s="182"/>
      <c r="K952" s="283"/>
      <c r="L952" s="378"/>
      <c r="M952" s="380"/>
      <c r="N952" s="380"/>
      <c r="O952" s="169"/>
      <c r="P952" s="93"/>
    </row>
    <row r="953" spans="3:16" s="146" customFormat="1" ht="18" hidden="1" customHeight="1" x14ac:dyDescent="0.25">
      <c r="C953" s="202"/>
      <c r="D953" s="623"/>
      <c r="E953" s="623"/>
      <c r="F953" s="81"/>
      <c r="G953" s="81"/>
      <c r="H953" s="602"/>
      <c r="I953" s="167"/>
      <c r="J953" s="603"/>
      <c r="K953" s="379"/>
      <c r="L953" s="378"/>
      <c r="M953" s="380"/>
      <c r="N953" s="380"/>
      <c r="O953" s="169"/>
      <c r="P953" s="93"/>
    </row>
    <row r="954" spans="3:16" s="146" customFormat="1" ht="18" hidden="1" customHeight="1" x14ac:dyDescent="0.25">
      <c r="C954" s="202"/>
      <c r="D954" s="623"/>
      <c r="E954" s="623"/>
      <c r="F954" s="81"/>
      <c r="G954" s="81"/>
      <c r="H954" s="602"/>
      <c r="I954" s="167"/>
      <c r="J954" s="603"/>
      <c r="K954" s="379"/>
      <c r="L954" s="378"/>
      <c r="M954" s="380"/>
      <c r="N954" s="380"/>
      <c r="O954" s="169"/>
      <c r="P954" s="93"/>
    </row>
    <row r="955" spans="3:16" s="146" customFormat="1" ht="18" hidden="1" customHeight="1" x14ac:dyDescent="0.25">
      <c r="C955" s="202"/>
      <c r="D955" s="623"/>
      <c r="E955" s="623"/>
      <c r="F955" s="81"/>
      <c r="G955" s="81"/>
      <c r="H955" s="602"/>
      <c r="I955" s="167"/>
      <c r="J955" s="603"/>
      <c r="K955" s="379"/>
      <c r="L955" s="378"/>
      <c r="M955" s="380"/>
      <c r="N955" s="380"/>
      <c r="O955" s="169"/>
      <c r="P955" s="93"/>
    </row>
    <row r="956" spans="3:16" s="146" customFormat="1" ht="18" hidden="1" customHeight="1" x14ac:dyDescent="0.25">
      <c r="C956" s="202"/>
      <c r="D956" s="182"/>
      <c r="E956" s="182"/>
      <c r="F956" s="182"/>
      <c r="G956" s="182"/>
      <c r="H956" s="182"/>
      <c r="I956" s="201"/>
      <c r="J956" s="210"/>
      <c r="K956" s="379"/>
      <c r="L956" s="378"/>
      <c r="M956" s="380"/>
      <c r="N956" s="380"/>
      <c r="O956" s="169"/>
      <c r="P956" s="93"/>
    </row>
    <row r="957" spans="3:16" s="146" customFormat="1" ht="18" hidden="1" customHeight="1" x14ac:dyDescent="0.25">
      <c r="C957" s="80"/>
      <c r="D957" s="81"/>
      <c r="E957" s="81"/>
      <c r="F957" s="81"/>
      <c r="G957" s="81"/>
      <c r="H957" s="602"/>
      <c r="I957" s="167"/>
      <c r="J957" s="603"/>
      <c r="K957" s="605"/>
      <c r="L957" s="605"/>
      <c r="M957" s="605"/>
      <c r="N957" s="605"/>
      <c r="O957" s="94"/>
      <c r="P957" s="93"/>
    </row>
    <row r="958" spans="3:16" s="611" customFormat="1" ht="18" hidden="1" customHeight="1" x14ac:dyDescent="0.25">
      <c r="C958" s="80"/>
      <c r="D958" s="81"/>
      <c r="E958" s="81"/>
      <c r="F958" s="81"/>
      <c r="G958" s="81"/>
      <c r="H958" s="602"/>
      <c r="I958" s="167"/>
      <c r="J958" s="603"/>
      <c r="K958" s="605"/>
      <c r="L958" s="605"/>
      <c r="M958" s="605"/>
      <c r="N958" s="605"/>
      <c r="O958" s="94"/>
      <c r="P958" s="93"/>
    </row>
    <row r="959" spans="3:16" s="526" customFormat="1" ht="18" hidden="1" customHeight="1" x14ac:dyDescent="0.25">
      <c r="C959" s="80"/>
      <c r="D959" s="81"/>
      <c r="E959" s="81"/>
      <c r="F959" s="81"/>
      <c r="G959" s="81"/>
      <c r="H959" s="602"/>
      <c r="I959" s="167"/>
      <c r="J959" s="603"/>
      <c r="K959" s="605"/>
      <c r="L959" s="605"/>
      <c r="M959" s="605"/>
      <c r="N959" s="605"/>
      <c r="O959" s="94"/>
      <c r="P959" s="93"/>
    </row>
    <row r="960" spans="3:16" s="146" customFormat="1" ht="18" hidden="1" customHeight="1" x14ac:dyDescent="0.25">
      <c r="C960" s="80"/>
      <c r="D960" s="81"/>
      <c r="E960" s="81"/>
      <c r="F960" s="182"/>
      <c r="G960" s="182"/>
      <c r="H960" s="597"/>
      <c r="I960" s="201"/>
      <c r="J960" s="210"/>
      <c r="K960" s="386"/>
      <c r="L960" s="601"/>
      <c r="M960" s="431"/>
      <c r="N960" s="366"/>
      <c r="O960" s="95"/>
      <c r="P960" s="93"/>
    </row>
    <row r="961" spans="2:16" s="146" customFormat="1" ht="18" hidden="1" customHeight="1" x14ac:dyDescent="0.25">
      <c r="C961" s="80"/>
      <c r="D961" s="180"/>
      <c r="E961" s="180"/>
      <c r="F961" s="180"/>
      <c r="G961" s="180"/>
      <c r="H961" s="597"/>
      <c r="I961" s="522"/>
      <c r="J961" s="210"/>
      <c r="K961" s="535"/>
      <c r="L961" s="601"/>
      <c r="M961" s="536"/>
      <c r="N961" s="601"/>
      <c r="O961" s="95"/>
      <c r="P961" s="93"/>
    </row>
    <row r="962" spans="2:16" s="146" customFormat="1" ht="18" hidden="1" customHeight="1" x14ac:dyDescent="0.25">
      <c r="C962" s="80"/>
      <c r="D962" s="535"/>
      <c r="E962" s="535"/>
      <c r="F962" s="535"/>
      <c r="G962" s="535"/>
      <c r="H962" s="535"/>
      <c r="I962" s="535"/>
      <c r="J962" s="535"/>
      <c r="K962" s="535"/>
      <c r="L962" s="601"/>
      <c r="M962" s="536"/>
      <c r="N962" s="601"/>
      <c r="O962" s="95"/>
      <c r="P962" s="93"/>
    </row>
    <row r="963" spans="2:16" s="146" customFormat="1" ht="18" hidden="1" customHeight="1" x14ac:dyDescent="0.25">
      <c r="C963" s="80"/>
      <c r="D963" s="535"/>
      <c r="E963" s="535"/>
      <c r="F963" s="535"/>
      <c r="G963" s="535"/>
      <c r="H963" s="535"/>
      <c r="I963" s="535"/>
      <c r="J963" s="535"/>
      <c r="K963" s="535"/>
      <c r="L963" s="601"/>
      <c r="M963" s="536"/>
      <c r="N963" s="601"/>
      <c r="O963" s="95"/>
      <c r="P963" s="93"/>
    </row>
    <row r="964" spans="2:16" s="146" customFormat="1" ht="9.9499999999999993" hidden="1" customHeight="1" thickBot="1" x14ac:dyDescent="0.3">
      <c r="C964" s="80"/>
      <c r="D964" s="283"/>
      <c r="E964" s="283"/>
      <c r="F964" s="283"/>
      <c r="G964" s="283"/>
      <c r="H964" s="283"/>
      <c r="I964" s="283"/>
      <c r="J964" s="283"/>
      <c r="K964" s="283"/>
      <c r="L964" s="283"/>
      <c r="M964" s="283"/>
      <c r="N964" s="283"/>
      <c r="O964" s="96"/>
      <c r="P964" s="97"/>
    </row>
    <row r="965" spans="2:16" s="146" customFormat="1" ht="18" hidden="1" customHeight="1" x14ac:dyDescent="0.25">
      <c r="B965" s="31" t="s">
        <v>34</v>
      </c>
      <c r="C965" s="29"/>
      <c r="D965" s="427"/>
      <c r="E965" s="408"/>
      <c r="F965" s="408"/>
      <c r="G965" s="1041" t="s">
        <v>343</v>
      </c>
      <c r="H965" s="1042"/>
      <c r="I965" s="1042"/>
      <c r="J965" s="1043"/>
      <c r="K965" s="1085">
        <f>'[25]MEMÓRIA DE CÁLCULO'!$K$1026</f>
        <v>37.380000000000003</v>
      </c>
      <c r="L965" s="1086"/>
      <c r="M965" s="171"/>
      <c r="N965" s="171"/>
      <c r="O965" s="98"/>
      <c r="P965" s="99"/>
    </row>
    <row r="966" spans="2:16" s="146" customFormat="1" ht="18" hidden="1" customHeight="1" x14ac:dyDescent="0.25">
      <c r="B966" s="31" t="str">
        <f>C948</f>
        <v>3.5</v>
      </c>
      <c r="C966" s="29"/>
      <c r="D966" s="427"/>
      <c r="E966" s="408"/>
      <c r="F966" s="408"/>
      <c r="G966" s="1082" t="s">
        <v>344</v>
      </c>
      <c r="H966" s="1083"/>
      <c r="I966" s="1083"/>
      <c r="J966" s="1084"/>
      <c r="K966" s="1075">
        <f>K965+O948</f>
        <v>37.380000000000003</v>
      </c>
      <c r="L966" s="1076"/>
      <c r="M966" s="171"/>
      <c r="N966" s="171"/>
      <c r="O966" s="98"/>
      <c r="P966" s="99"/>
    </row>
    <row r="967" spans="2:16" s="146" customFormat="1" ht="18" hidden="1" customHeight="1" x14ac:dyDescent="0.25">
      <c r="C967" s="29"/>
      <c r="D967" s="408"/>
      <c r="E967" s="408"/>
      <c r="F967" s="408"/>
      <c r="G967" s="1082" t="s">
        <v>345</v>
      </c>
      <c r="H967" s="1083"/>
      <c r="I967" s="1083"/>
      <c r="J967" s="1084"/>
      <c r="K967" s="1075">
        <f>VLOOKUP(C948,'[26]BM DETALHADO'!$B$13:$E$126,4,FALSE)</f>
        <v>150</v>
      </c>
      <c r="L967" s="1076"/>
      <c r="M967" s="171"/>
      <c r="N967" s="171"/>
      <c r="O967" s="98"/>
      <c r="P967" s="99"/>
    </row>
    <row r="968" spans="2:16" s="146" customFormat="1" ht="18" hidden="1" customHeight="1" thickBot="1" x14ac:dyDescent="0.3">
      <c r="C968" s="29"/>
      <c r="D968" s="408"/>
      <c r="E968" s="408"/>
      <c r="F968" s="408"/>
      <c r="G968" s="1077" t="s">
        <v>346</v>
      </c>
      <c r="H968" s="1078"/>
      <c r="I968" s="1078"/>
      <c r="J968" s="1079"/>
      <c r="K968" s="1068">
        <f>K967-K966</f>
        <v>112.62</v>
      </c>
      <c r="L968" s="1069"/>
      <c r="M968" s="171"/>
      <c r="N968" s="171"/>
      <c r="O968" s="98"/>
      <c r="P968" s="99"/>
    </row>
    <row r="969" spans="2:16" s="146" customFormat="1" ht="9.9499999999999993" hidden="1" customHeight="1" thickBot="1" x14ac:dyDescent="0.3">
      <c r="C969" s="21"/>
      <c r="D969" s="22"/>
      <c r="E969" s="22"/>
      <c r="F969" s="22"/>
      <c r="G969" s="27"/>
      <c r="H969" s="27"/>
      <c r="I969" s="27"/>
      <c r="J969" s="27"/>
      <c r="K969" s="28"/>
      <c r="L969" s="28"/>
      <c r="M969" s="22"/>
      <c r="N969" s="22"/>
      <c r="O969" s="100"/>
      <c r="P969" s="101"/>
    </row>
    <row r="970" spans="2:16" s="146" customFormat="1" ht="18" hidden="1" customHeight="1" x14ac:dyDescent="0.25">
      <c r="C970" s="20" t="s">
        <v>34</v>
      </c>
      <c r="D970" s="1052" t="s">
        <v>35</v>
      </c>
      <c r="E970" s="1053"/>
      <c r="F970" s="1053"/>
      <c r="G970" s="1053"/>
      <c r="H970" s="1053"/>
      <c r="I970" s="1053"/>
      <c r="J970" s="1053"/>
      <c r="K970" s="1053"/>
      <c r="L970" s="1053"/>
      <c r="M970" s="1054"/>
      <c r="N970" s="145" t="s">
        <v>0</v>
      </c>
      <c r="O970" s="1107" t="s">
        <v>4</v>
      </c>
      <c r="P970" s="1108"/>
    </row>
    <row r="971" spans="2:16" s="146" customFormat="1" ht="69.95" hidden="1" customHeight="1" thickBot="1" x14ac:dyDescent="0.3">
      <c r="C971" s="85" t="s">
        <v>181</v>
      </c>
      <c r="D971" s="1070" t="str">
        <f>VLOOKUP(C971,'BM DETALHADO'!$B$13:$D$126,2,FALSE)</f>
        <v>DESMONTAGEM DE ESCADA DE MADEIRA, RETIRANDO LIMPANDO, CATALOGANDO E ARMAZENANDO  .</v>
      </c>
      <c r="E971" s="1071"/>
      <c r="F971" s="1071"/>
      <c r="G971" s="1071"/>
      <c r="H971" s="1071"/>
      <c r="I971" s="1071"/>
      <c r="J971" s="1071"/>
      <c r="K971" s="1071"/>
      <c r="L971" s="1071"/>
      <c r="M971" s="1072"/>
      <c r="N971" s="19" t="str">
        <f>VLOOKUP(C971,'BM DETALHADO'!$B$13:$D$126,3,FALSE)</f>
        <v>UNID</v>
      </c>
      <c r="O971" s="1109"/>
      <c r="P971" s="1110"/>
    </row>
    <row r="972" spans="2:16" s="146" customFormat="1" ht="9.9499999999999993" hidden="1" customHeight="1" x14ac:dyDescent="0.25">
      <c r="C972" s="77"/>
      <c r="D972" s="78"/>
      <c r="E972" s="79"/>
      <c r="F972" s="79"/>
      <c r="G972" s="79"/>
      <c r="H972" s="79"/>
      <c r="I972" s="79"/>
      <c r="J972" s="79"/>
      <c r="K972" s="79"/>
      <c r="L972" s="79"/>
      <c r="M972" s="79"/>
      <c r="N972" s="79"/>
      <c r="O972" s="91"/>
      <c r="P972" s="92"/>
    </row>
    <row r="973" spans="2:16" s="146" customFormat="1" ht="18" hidden="1" customHeight="1" x14ac:dyDescent="0.25">
      <c r="C973" s="336"/>
      <c r="D973" s="81"/>
      <c r="E973" s="81"/>
      <c r="F973" s="81"/>
      <c r="G973" s="81"/>
      <c r="H973" s="330"/>
      <c r="I973" s="344"/>
      <c r="J973" s="339"/>
      <c r="K973" s="344"/>
      <c r="L973" s="339"/>
      <c r="M973" s="169"/>
      <c r="N973" s="169"/>
      <c r="O973" s="343"/>
      <c r="P973" s="93"/>
    </row>
    <row r="974" spans="2:16" s="146" customFormat="1" ht="18" hidden="1" customHeight="1" x14ac:dyDescent="0.25">
      <c r="C974" s="336"/>
      <c r="D974" s="333"/>
      <c r="E974" s="333"/>
      <c r="F974" s="333"/>
      <c r="G974" s="333"/>
      <c r="H974" s="330"/>
      <c r="I974" s="330"/>
      <c r="J974" s="330"/>
      <c r="K974" s="330"/>
      <c r="L974" s="330"/>
      <c r="M974" s="330"/>
      <c r="N974" s="330"/>
      <c r="O974" s="94"/>
      <c r="P974" s="93"/>
    </row>
    <row r="975" spans="2:16" s="146" customFormat="1" ht="18" hidden="1" customHeight="1" x14ac:dyDescent="0.25">
      <c r="C975" s="202"/>
      <c r="D975" s="81"/>
      <c r="E975" s="81"/>
      <c r="F975" s="81"/>
      <c r="G975" s="81"/>
      <c r="H975" s="81"/>
      <c r="I975" s="167"/>
      <c r="J975" s="168"/>
      <c r="K975" s="167"/>
      <c r="L975" s="168"/>
      <c r="M975" s="169"/>
      <c r="N975" s="169"/>
      <c r="O975" s="169"/>
      <c r="P975" s="93"/>
    </row>
    <row r="976" spans="2:16" s="146" customFormat="1" ht="18" hidden="1" customHeight="1" x14ac:dyDescent="0.25">
      <c r="C976" s="202"/>
      <c r="D976" s="81"/>
      <c r="E976" s="81"/>
      <c r="F976" s="81"/>
      <c r="G976" s="81"/>
      <c r="H976" s="81"/>
      <c r="I976" s="167"/>
      <c r="J976" s="168"/>
      <c r="K976" s="167"/>
      <c r="L976" s="168"/>
      <c r="M976" s="169"/>
      <c r="N976" s="169"/>
      <c r="O976" s="169"/>
      <c r="P976" s="93"/>
    </row>
    <row r="977" spans="2:16" s="146" customFormat="1" ht="18" hidden="1" customHeight="1" x14ac:dyDescent="0.25">
      <c r="C977" s="202"/>
      <c r="D977" s="81"/>
      <c r="E977" s="81"/>
      <c r="F977" s="81"/>
      <c r="G977" s="81"/>
      <c r="H977" s="81"/>
      <c r="I977" s="167"/>
      <c r="J977" s="168"/>
      <c r="K977" s="167"/>
      <c r="L977" s="168"/>
      <c r="M977" s="169"/>
      <c r="N977" s="169"/>
      <c r="O977" s="169"/>
      <c r="P977" s="93"/>
    </row>
    <row r="978" spans="2:16" s="146" customFormat="1" ht="18" hidden="1" customHeight="1" x14ac:dyDescent="0.25">
      <c r="C978" s="202"/>
      <c r="D978" s="81"/>
      <c r="E978" s="81"/>
      <c r="F978" s="81"/>
      <c r="G978" s="81"/>
      <c r="H978" s="81"/>
      <c r="I978" s="167"/>
      <c r="J978" s="168"/>
      <c r="K978" s="167"/>
      <c r="L978" s="168"/>
      <c r="M978" s="169"/>
      <c r="N978" s="169"/>
      <c r="O978" s="169"/>
      <c r="P978" s="93"/>
    </row>
    <row r="979" spans="2:16" s="146" customFormat="1" ht="18" hidden="1" customHeight="1" x14ac:dyDescent="0.25">
      <c r="C979" s="202"/>
      <c r="D979" s="81"/>
      <c r="E979" s="81"/>
      <c r="F979" s="81"/>
      <c r="G979" s="81"/>
      <c r="H979" s="81"/>
      <c r="I979" s="167"/>
      <c r="J979" s="168"/>
      <c r="K979" s="167"/>
      <c r="L979" s="168"/>
      <c r="M979" s="169"/>
      <c r="N979" s="169"/>
      <c r="O979" s="169"/>
      <c r="P979" s="93"/>
    </row>
    <row r="980" spans="2:16" s="146" customFormat="1" ht="18" hidden="1" customHeight="1" x14ac:dyDescent="0.25">
      <c r="C980" s="80"/>
      <c r="D980" s="81"/>
      <c r="E980" s="330"/>
      <c r="F980" s="330"/>
      <c r="G980" s="330"/>
      <c r="H980" s="330"/>
      <c r="I980" s="330"/>
      <c r="J980" s="330"/>
      <c r="K980" s="330"/>
      <c r="L980" s="330"/>
      <c r="M980" s="330"/>
      <c r="N980" s="330"/>
      <c r="O980" s="94"/>
      <c r="P980" s="93"/>
    </row>
    <row r="981" spans="2:16" s="146" customFormat="1" ht="18" hidden="1" customHeight="1" x14ac:dyDescent="0.25">
      <c r="C981" s="80"/>
      <c r="D981" s="180"/>
      <c r="E981" s="180"/>
      <c r="F981" s="180"/>
      <c r="G981" s="180"/>
      <c r="H981" s="180"/>
      <c r="I981" s="180"/>
      <c r="J981" s="180"/>
      <c r="K981" s="180"/>
      <c r="L981" s="328"/>
      <c r="M981" s="181"/>
      <c r="N981" s="182"/>
      <c r="O981" s="95"/>
      <c r="P981" s="93"/>
    </row>
    <row r="982" spans="2:16" s="146" customFormat="1" ht="18" hidden="1" customHeight="1" x14ac:dyDescent="0.25">
      <c r="C982" s="80"/>
      <c r="D982" s="331"/>
      <c r="E982" s="331"/>
      <c r="F982" s="331"/>
      <c r="G982" s="331"/>
      <c r="H982" s="331"/>
      <c r="I982" s="331"/>
      <c r="J982" s="331"/>
      <c r="K982" s="331"/>
      <c r="L982" s="328"/>
      <c r="M982" s="332"/>
      <c r="N982" s="328"/>
      <c r="O982" s="95"/>
      <c r="P982" s="93"/>
    </row>
    <row r="983" spans="2:16" s="146" customFormat="1" ht="18" hidden="1" customHeight="1" x14ac:dyDescent="0.25">
      <c r="C983" s="80"/>
      <c r="D983" s="331"/>
      <c r="E983" s="331"/>
      <c r="F983" s="331"/>
      <c r="G983" s="331"/>
      <c r="H983" s="331"/>
      <c r="I983" s="331"/>
      <c r="J983" s="331"/>
      <c r="K983" s="331"/>
      <c r="L983" s="328"/>
      <c r="M983" s="332"/>
      <c r="N983" s="328"/>
      <c r="O983" s="95"/>
      <c r="P983" s="93"/>
    </row>
    <row r="984" spans="2:16" s="146" customFormat="1" ht="18" hidden="1" customHeight="1" x14ac:dyDescent="0.25">
      <c r="C984" s="80"/>
      <c r="D984" s="331"/>
      <c r="E984" s="331"/>
      <c r="F984" s="331"/>
      <c r="G984" s="331"/>
      <c r="H984" s="331"/>
      <c r="I984" s="331"/>
      <c r="J984" s="331"/>
      <c r="K984" s="331"/>
      <c r="L984" s="328"/>
      <c r="M984" s="332"/>
      <c r="N984" s="328"/>
      <c r="O984" s="95"/>
      <c r="P984" s="93"/>
    </row>
    <row r="985" spans="2:16" s="146" customFormat="1" ht="9.9499999999999993" hidden="1" customHeight="1" thickBot="1" x14ac:dyDescent="0.3">
      <c r="C985" s="80"/>
      <c r="D985" s="81"/>
      <c r="E985" s="81"/>
      <c r="F985" s="81"/>
      <c r="G985" s="81"/>
      <c r="H985" s="81"/>
      <c r="I985" s="81"/>
      <c r="J985" s="81"/>
      <c r="K985" s="81"/>
      <c r="L985" s="81"/>
      <c r="M985" s="81"/>
      <c r="N985" s="81"/>
      <c r="O985" s="96"/>
      <c r="P985" s="97"/>
    </row>
    <row r="986" spans="2:16" s="146" customFormat="1" ht="18" hidden="1" customHeight="1" x14ac:dyDescent="0.25">
      <c r="B986" s="31" t="s">
        <v>34</v>
      </c>
      <c r="C986" s="29"/>
      <c r="E986" s="30"/>
      <c r="F986" s="30"/>
      <c r="G986" s="1041" t="s">
        <v>343</v>
      </c>
      <c r="H986" s="1042"/>
      <c r="I986" s="1042"/>
      <c r="J986" s="1043"/>
      <c r="K986" s="1085">
        <f>'[25]MEMÓRIA DE CÁLCULO'!$K$1047</f>
        <v>0</v>
      </c>
      <c r="L986" s="1086"/>
      <c r="M986" s="18"/>
      <c r="N986" s="18"/>
      <c r="O986" s="98"/>
      <c r="P986" s="99"/>
    </row>
    <row r="987" spans="2:16" s="146" customFormat="1" ht="18" hidden="1" customHeight="1" x14ac:dyDescent="0.25">
      <c r="B987" s="31" t="str">
        <f>C971</f>
        <v>3.6</v>
      </c>
      <c r="C987" s="29"/>
      <c r="E987" s="30"/>
      <c r="F987" s="30"/>
      <c r="G987" s="1082" t="s">
        <v>344</v>
      </c>
      <c r="H987" s="1083"/>
      <c r="I987" s="1083"/>
      <c r="J987" s="1084"/>
      <c r="K987" s="1075">
        <f>K986+O971</f>
        <v>0</v>
      </c>
      <c r="L987" s="1076"/>
      <c r="M987" s="18"/>
      <c r="N987" s="18"/>
      <c r="O987" s="98"/>
      <c r="P987" s="99"/>
    </row>
    <row r="988" spans="2:16" s="146" customFormat="1" ht="18" hidden="1" customHeight="1" x14ac:dyDescent="0.25">
      <c r="C988" s="29"/>
      <c r="D988" s="30"/>
      <c r="E988" s="30"/>
      <c r="F988" s="30"/>
      <c r="G988" s="1082" t="s">
        <v>345</v>
      </c>
      <c r="H988" s="1083"/>
      <c r="I988" s="1083"/>
      <c r="J988" s="1084"/>
      <c r="K988" s="1075">
        <f>'BM DETALHADO'!E71</f>
        <v>1</v>
      </c>
      <c r="L988" s="1076"/>
      <c r="M988" s="18"/>
      <c r="N988" s="18"/>
      <c r="O988" s="98"/>
      <c r="P988" s="99"/>
    </row>
    <row r="989" spans="2:16" s="146" customFormat="1" ht="18" hidden="1" customHeight="1" thickBot="1" x14ac:dyDescent="0.3">
      <c r="C989" s="29"/>
      <c r="D989" s="30"/>
      <c r="E989" s="30"/>
      <c r="F989" s="30"/>
      <c r="G989" s="1077" t="s">
        <v>346</v>
      </c>
      <c r="H989" s="1078"/>
      <c r="I989" s="1078"/>
      <c r="J989" s="1079"/>
      <c r="K989" s="1068">
        <f>K988-K987</f>
        <v>1</v>
      </c>
      <c r="L989" s="1069"/>
      <c r="M989" s="18"/>
      <c r="N989" s="18"/>
      <c r="O989" s="98"/>
      <c r="P989" s="99"/>
    </row>
    <row r="990" spans="2:16" s="146" customFormat="1" ht="9.9499999999999993" hidden="1" customHeight="1" thickBot="1" x14ac:dyDescent="0.3">
      <c r="C990" s="21"/>
      <c r="D990" s="22"/>
      <c r="E990" s="22"/>
      <c r="F990" s="22"/>
      <c r="G990" s="27"/>
      <c r="H990" s="27"/>
      <c r="I990" s="27"/>
      <c r="J990" s="27"/>
      <c r="K990" s="28"/>
      <c r="L990" s="28"/>
      <c r="M990" s="22"/>
      <c r="N990" s="22"/>
      <c r="O990" s="100"/>
      <c r="P990" s="101"/>
    </row>
    <row r="991" spans="2:16" s="146" customFormat="1" ht="18" hidden="1" customHeight="1" x14ac:dyDescent="0.25">
      <c r="C991" s="20" t="s">
        <v>34</v>
      </c>
      <c r="D991" s="1052" t="s">
        <v>35</v>
      </c>
      <c r="E991" s="1053"/>
      <c r="F991" s="1053"/>
      <c r="G991" s="1053"/>
      <c r="H991" s="1053"/>
      <c r="I991" s="1053"/>
      <c r="J991" s="1053"/>
      <c r="K991" s="1053"/>
      <c r="L991" s="1053"/>
      <c r="M991" s="1054"/>
      <c r="N991" s="145" t="s">
        <v>0</v>
      </c>
      <c r="O991" s="1107" t="s">
        <v>4</v>
      </c>
      <c r="P991" s="1108"/>
    </row>
    <row r="992" spans="2:16" s="146" customFormat="1" ht="69.95" hidden="1" customHeight="1" thickBot="1" x14ac:dyDescent="0.3">
      <c r="C992" s="85" t="s">
        <v>183</v>
      </c>
      <c r="D992" s="1070" t="str">
        <f>VLOOKUP(C992,'BM DETALHADO'!$B$13:$D$126,2,FALSE)</f>
        <v>DESMONTAGEM DE LAMBREQUINS, RETIRANDO LIMPANDO, CATALOGANDO E ARMAZENANDO  .</v>
      </c>
      <c r="E992" s="1071"/>
      <c r="F992" s="1071"/>
      <c r="G992" s="1071"/>
      <c r="H992" s="1071"/>
      <c r="I992" s="1071"/>
      <c r="J992" s="1071"/>
      <c r="K992" s="1071"/>
      <c r="L992" s="1071"/>
      <c r="M992" s="1072"/>
      <c r="N992" s="19" t="str">
        <f>VLOOKUP(C992,'BM DETALHADO'!$B$13:$D$126,3,FALSE)</f>
        <v>M</v>
      </c>
      <c r="O992" s="1109"/>
      <c r="P992" s="1110"/>
    </row>
    <row r="993" spans="2:16" s="146" customFormat="1" ht="9.9499999999999993" hidden="1" customHeight="1" x14ac:dyDescent="0.25">
      <c r="C993" s="77"/>
      <c r="D993" s="78"/>
      <c r="E993" s="79"/>
      <c r="F993" s="79"/>
      <c r="G993" s="79"/>
      <c r="H993" s="79"/>
      <c r="I993" s="79"/>
      <c r="J993" s="79"/>
      <c r="K993" s="79"/>
      <c r="L993" s="79"/>
      <c r="M993" s="79"/>
      <c r="N993" s="79"/>
      <c r="O993" s="91"/>
      <c r="P993" s="92"/>
    </row>
    <row r="994" spans="2:16" s="146" customFormat="1" ht="18" hidden="1" customHeight="1" x14ac:dyDescent="0.25">
      <c r="C994" s="336"/>
      <c r="D994" s="81"/>
      <c r="E994" s="81"/>
      <c r="F994" s="81"/>
      <c r="G994" s="81"/>
      <c r="H994" s="330"/>
      <c r="I994" s="344"/>
      <c r="J994" s="339"/>
      <c r="K994" s="344"/>
      <c r="L994" s="339"/>
      <c r="M994" s="169"/>
      <c r="N994" s="169"/>
      <c r="O994" s="343"/>
      <c r="P994" s="93"/>
    </row>
    <row r="995" spans="2:16" s="146" customFormat="1" ht="18" hidden="1" customHeight="1" x14ac:dyDescent="0.25">
      <c r="C995" s="336"/>
      <c r="D995" s="333"/>
      <c r="E995" s="333"/>
      <c r="F995" s="333"/>
      <c r="G995" s="333"/>
      <c r="H995" s="330"/>
      <c r="I995" s="330"/>
      <c r="J995" s="330"/>
      <c r="K995" s="330"/>
      <c r="L995" s="330"/>
      <c r="M995" s="330"/>
      <c r="N995" s="330"/>
      <c r="O995" s="94"/>
      <c r="P995" s="93"/>
    </row>
    <row r="996" spans="2:16" s="146" customFormat="1" ht="18" hidden="1" customHeight="1" x14ac:dyDescent="0.25">
      <c r="C996" s="202"/>
      <c r="D996" s="81"/>
      <c r="E996" s="81"/>
      <c r="F996" s="81"/>
      <c r="G996" s="81"/>
      <c r="H996" s="81"/>
      <c r="I996" s="167"/>
      <c r="J996" s="168"/>
      <c r="K996" s="167"/>
      <c r="L996" s="168"/>
      <c r="M996" s="169"/>
      <c r="N996" s="169"/>
      <c r="O996" s="169"/>
      <c r="P996" s="93"/>
    </row>
    <row r="997" spans="2:16" s="146" customFormat="1" ht="18" hidden="1" customHeight="1" x14ac:dyDescent="0.25">
      <c r="C997" s="202"/>
      <c r="D997" s="81"/>
      <c r="E997" s="81"/>
      <c r="F997" s="81"/>
      <c r="G997" s="81"/>
      <c r="H997" s="81"/>
      <c r="I997" s="167"/>
      <c r="J997" s="168"/>
      <c r="K997" s="167"/>
      <c r="L997" s="168"/>
      <c r="M997" s="169"/>
      <c r="N997" s="169"/>
      <c r="O997" s="169"/>
      <c r="P997" s="93"/>
    </row>
    <row r="998" spans="2:16" s="146" customFormat="1" ht="18" hidden="1" customHeight="1" x14ac:dyDescent="0.25">
      <c r="C998" s="202"/>
      <c r="D998" s="81"/>
      <c r="E998" s="81"/>
      <c r="F998" s="81"/>
      <c r="G998" s="81"/>
      <c r="H998" s="81"/>
      <c r="I998" s="167"/>
      <c r="J998" s="168"/>
      <c r="K998" s="167"/>
      <c r="L998" s="168"/>
      <c r="M998" s="169"/>
      <c r="N998" s="169"/>
      <c r="O998" s="169"/>
      <c r="P998" s="93"/>
    </row>
    <row r="999" spans="2:16" s="146" customFormat="1" ht="18" hidden="1" customHeight="1" x14ac:dyDescent="0.25">
      <c r="C999" s="202"/>
      <c r="D999" s="81"/>
      <c r="E999" s="81"/>
      <c r="F999" s="81"/>
      <c r="G999" s="81"/>
      <c r="H999" s="81"/>
      <c r="I999" s="167"/>
      <c r="J999" s="168"/>
      <c r="K999" s="167"/>
      <c r="L999" s="168"/>
      <c r="M999" s="169"/>
      <c r="N999" s="169"/>
      <c r="O999" s="169"/>
      <c r="P999" s="93"/>
    </row>
    <row r="1000" spans="2:16" s="146" customFormat="1" ht="18" hidden="1" customHeight="1" x14ac:dyDescent="0.25">
      <c r="C1000" s="202"/>
      <c r="D1000" s="81"/>
      <c r="E1000" s="81"/>
      <c r="F1000" s="81"/>
      <c r="G1000" s="81"/>
      <c r="H1000" s="81"/>
      <c r="I1000" s="167"/>
      <c r="J1000" s="168"/>
      <c r="K1000" s="167"/>
      <c r="L1000" s="168"/>
      <c r="M1000" s="169"/>
      <c r="N1000" s="169"/>
      <c r="O1000" s="169"/>
      <c r="P1000" s="93"/>
    </row>
    <row r="1001" spans="2:16" s="146" customFormat="1" ht="18" hidden="1" customHeight="1" x14ac:dyDescent="0.25">
      <c r="C1001" s="80"/>
      <c r="D1001" s="81"/>
      <c r="E1001" s="330"/>
      <c r="F1001" s="330"/>
      <c r="G1001" s="330"/>
      <c r="H1001" s="330"/>
      <c r="I1001" s="330"/>
      <c r="J1001" s="330"/>
      <c r="K1001" s="330"/>
      <c r="L1001" s="330"/>
      <c r="M1001" s="330"/>
      <c r="N1001" s="330"/>
      <c r="O1001" s="94"/>
      <c r="P1001" s="93"/>
    </row>
    <row r="1002" spans="2:16" s="146" customFormat="1" ht="18" hidden="1" customHeight="1" x14ac:dyDescent="0.25">
      <c r="C1002" s="80"/>
      <c r="D1002" s="180"/>
      <c r="E1002" s="180"/>
      <c r="F1002" s="180"/>
      <c r="G1002" s="180"/>
      <c r="H1002" s="180"/>
      <c r="I1002" s="180"/>
      <c r="J1002" s="180"/>
      <c r="K1002" s="180"/>
      <c r="L1002" s="328"/>
      <c r="M1002" s="181"/>
      <c r="N1002" s="182"/>
      <c r="O1002" s="95"/>
      <c r="P1002" s="93"/>
    </row>
    <row r="1003" spans="2:16" s="146" customFormat="1" ht="18" hidden="1" customHeight="1" x14ac:dyDescent="0.25">
      <c r="C1003" s="80"/>
      <c r="D1003" s="331"/>
      <c r="E1003" s="331"/>
      <c r="F1003" s="331"/>
      <c r="G1003" s="331"/>
      <c r="H1003" s="331"/>
      <c r="I1003" s="331"/>
      <c r="J1003" s="331"/>
      <c r="K1003" s="331"/>
      <c r="L1003" s="328"/>
      <c r="M1003" s="332"/>
      <c r="N1003" s="328"/>
      <c r="O1003" s="95"/>
      <c r="P1003" s="93"/>
    </row>
    <row r="1004" spans="2:16" s="146" customFormat="1" ht="18" hidden="1" customHeight="1" x14ac:dyDescent="0.25">
      <c r="C1004" s="80"/>
      <c r="D1004" s="331"/>
      <c r="E1004" s="331"/>
      <c r="F1004" s="331"/>
      <c r="G1004" s="331"/>
      <c r="H1004" s="331"/>
      <c r="I1004" s="331"/>
      <c r="J1004" s="331"/>
      <c r="K1004" s="331"/>
      <c r="L1004" s="328"/>
      <c r="M1004" s="332"/>
      <c r="N1004" s="328"/>
      <c r="O1004" s="95"/>
      <c r="P1004" s="93"/>
    </row>
    <row r="1005" spans="2:16" s="146" customFormat="1" ht="18" hidden="1" customHeight="1" x14ac:dyDescent="0.25">
      <c r="C1005" s="80"/>
      <c r="D1005" s="331"/>
      <c r="E1005" s="331"/>
      <c r="F1005" s="331"/>
      <c r="G1005" s="331"/>
      <c r="H1005" s="331"/>
      <c r="I1005" s="331"/>
      <c r="J1005" s="331"/>
      <c r="K1005" s="331"/>
      <c r="L1005" s="328"/>
      <c r="M1005" s="332"/>
      <c r="N1005" s="328"/>
      <c r="O1005" s="95"/>
      <c r="P1005" s="93"/>
    </row>
    <row r="1006" spans="2:16" s="146" customFormat="1" ht="9.9499999999999993" hidden="1" customHeight="1" thickBot="1" x14ac:dyDescent="0.3">
      <c r="C1006" s="80"/>
      <c r="D1006" s="81"/>
      <c r="E1006" s="81"/>
      <c r="F1006" s="81"/>
      <c r="G1006" s="81"/>
      <c r="H1006" s="81"/>
      <c r="I1006" s="81"/>
      <c r="J1006" s="81"/>
      <c r="K1006" s="81"/>
      <c r="L1006" s="81"/>
      <c r="M1006" s="81"/>
      <c r="N1006" s="81"/>
      <c r="O1006" s="96"/>
      <c r="P1006" s="97"/>
    </row>
    <row r="1007" spans="2:16" s="146" customFormat="1" ht="18" hidden="1" customHeight="1" x14ac:dyDescent="0.25">
      <c r="B1007" s="31" t="s">
        <v>34</v>
      </c>
      <c r="C1007" s="29"/>
      <c r="E1007" s="30"/>
      <c r="F1007" s="30"/>
      <c r="G1007" s="1041" t="s">
        <v>343</v>
      </c>
      <c r="H1007" s="1042"/>
      <c r="I1007" s="1042"/>
      <c r="J1007" s="1043"/>
      <c r="K1007" s="1085">
        <f>'[25]MEMÓRIA DE CÁLCULO'!$K$1068</f>
        <v>0</v>
      </c>
      <c r="L1007" s="1086"/>
      <c r="M1007" s="18"/>
      <c r="N1007" s="18"/>
      <c r="O1007" s="98"/>
      <c r="P1007" s="99"/>
    </row>
    <row r="1008" spans="2:16" s="146" customFormat="1" ht="18" hidden="1" customHeight="1" x14ac:dyDescent="0.25">
      <c r="B1008" s="31" t="str">
        <f>C992</f>
        <v>3.7</v>
      </c>
      <c r="C1008" s="29"/>
      <c r="E1008" s="30"/>
      <c r="F1008" s="30"/>
      <c r="G1008" s="1082" t="s">
        <v>344</v>
      </c>
      <c r="H1008" s="1083"/>
      <c r="I1008" s="1083"/>
      <c r="J1008" s="1084"/>
      <c r="K1008" s="1075">
        <f>K1007+O992</f>
        <v>0</v>
      </c>
      <c r="L1008" s="1076"/>
      <c r="M1008" s="18"/>
      <c r="N1008" s="18"/>
      <c r="O1008" s="98"/>
      <c r="P1008" s="99"/>
    </row>
    <row r="1009" spans="3:16" s="146" customFormat="1" ht="18" hidden="1" customHeight="1" x14ac:dyDescent="0.25">
      <c r="C1009" s="29"/>
      <c r="D1009" s="30"/>
      <c r="E1009" s="30"/>
      <c r="F1009" s="30"/>
      <c r="G1009" s="1082" t="s">
        <v>345</v>
      </c>
      <c r="H1009" s="1083"/>
      <c r="I1009" s="1083"/>
      <c r="J1009" s="1084"/>
      <c r="K1009" s="1075">
        <f>'BM DETALHADO'!E72</f>
        <v>20</v>
      </c>
      <c r="L1009" s="1076"/>
      <c r="M1009" s="18"/>
      <c r="N1009" s="18"/>
      <c r="O1009" s="98"/>
      <c r="P1009" s="99"/>
    </row>
    <row r="1010" spans="3:16" s="146" customFormat="1" ht="18" hidden="1" customHeight="1" thickBot="1" x14ac:dyDescent="0.3">
      <c r="C1010" s="29"/>
      <c r="D1010" s="30"/>
      <c r="E1010" s="30"/>
      <c r="F1010" s="30"/>
      <c r="G1010" s="1077" t="s">
        <v>346</v>
      </c>
      <c r="H1010" s="1078"/>
      <c r="I1010" s="1078"/>
      <c r="J1010" s="1079"/>
      <c r="K1010" s="1068">
        <f>K1009-K1008</f>
        <v>20</v>
      </c>
      <c r="L1010" s="1069"/>
      <c r="M1010" s="18"/>
      <c r="N1010" s="18"/>
      <c r="O1010" s="98"/>
      <c r="P1010" s="99"/>
    </row>
    <row r="1011" spans="3:16" s="146" customFormat="1" ht="9.9499999999999993" hidden="1" customHeight="1" thickBot="1" x14ac:dyDescent="0.3">
      <c r="C1011" s="21"/>
      <c r="D1011" s="22"/>
      <c r="E1011" s="22"/>
      <c r="F1011" s="22"/>
      <c r="G1011" s="360"/>
      <c r="H1011" s="360"/>
      <c r="I1011" s="360"/>
      <c r="J1011" s="360"/>
      <c r="K1011" s="361"/>
      <c r="L1011" s="361"/>
      <c r="M1011" s="22"/>
      <c r="N1011" s="22"/>
      <c r="O1011" s="100"/>
      <c r="P1011" s="101"/>
    </row>
    <row r="1012" spans="3:16" s="146" customFormat="1" ht="18" hidden="1" customHeight="1" x14ac:dyDescent="0.25">
      <c r="C1012" s="20" t="s">
        <v>34</v>
      </c>
      <c r="D1012" s="1052" t="s">
        <v>35</v>
      </c>
      <c r="E1012" s="1053"/>
      <c r="F1012" s="1053"/>
      <c r="G1012" s="1053"/>
      <c r="H1012" s="1053"/>
      <c r="I1012" s="1053"/>
      <c r="J1012" s="1053"/>
      <c r="K1012" s="1053"/>
      <c r="L1012" s="1053"/>
      <c r="M1012" s="1054"/>
      <c r="N1012" s="145" t="s">
        <v>0</v>
      </c>
      <c r="O1012" s="1107" t="s">
        <v>4</v>
      </c>
      <c r="P1012" s="1108"/>
    </row>
    <row r="1013" spans="3:16" s="146" customFormat="1" ht="69.95" hidden="1" customHeight="1" thickBot="1" x14ac:dyDescent="0.3">
      <c r="C1013" s="85" t="s">
        <v>185</v>
      </c>
      <c r="D1013" s="1070" t="str">
        <f>VLOOKUP(C1013,'BM DETALHADO'!$B$13:$D$126,2,FALSE)</f>
        <v>Cadastro fotográfico  (DIGITAL)de peças  de madeira a serem desmontadas e retiradas para restauro, etiquetagem e mapeamento da posição e  guarda segura bem acondicionadas, DE TODO O MUSEU</v>
      </c>
      <c r="E1013" s="1071"/>
      <c r="F1013" s="1071"/>
      <c r="G1013" s="1071"/>
      <c r="H1013" s="1071"/>
      <c r="I1013" s="1071"/>
      <c r="J1013" s="1071"/>
      <c r="K1013" s="1071"/>
      <c r="L1013" s="1071"/>
      <c r="M1013" s="1072"/>
      <c r="N1013" s="19" t="str">
        <f>VLOOKUP(C1013,'BM DETALHADO'!$B$13:$D$126,3,FALSE)</f>
        <v>UNID</v>
      </c>
      <c r="O1013" s="1109"/>
      <c r="P1013" s="1110"/>
    </row>
    <row r="1014" spans="3:16" s="146" customFormat="1" ht="9.9499999999999993" hidden="1" customHeight="1" x14ac:dyDescent="0.25">
      <c r="C1014" s="77"/>
      <c r="D1014" s="78"/>
      <c r="E1014" s="79"/>
      <c r="F1014" s="79"/>
      <c r="G1014" s="79"/>
      <c r="H1014" s="79"/>
      <c r="I1014" s="79"/>
      <c r="J1014" s="79"/>
      <c r="K1014" s="79"/>
      <c r="L1014" s="79"/>
      <c r="M1014" s="79"/>
      <c r="N1014" s="79"/>
      <c r="O1014" s="91"/>
      <c r="P1014" s="92"/>
    </row>
    <row r="1015" spans="3:16" s="146" customFormat="1" ht="18" hidden="1" customHeight="1" x14ac:dyDescent="0.25">
      <c r="C1015" s="336"/>
      <c r="D1015" s="81"/>
      <c r="E1015" s="81"/>
      <c r="F1015" s="81"/>
      <c r="G1015" s="81"/>
      <c r="H1015" s="330"/>
      <c r="I1015" s="344"/>
      <c r="J1015" s="339"/>
      <c r="K1015" s="344"/>
      <c r="L1015" s="339"/>
      <c r="M1015" s="169"/>
      <c r="N1015" s="169"/>
      <c r="O1015" s="343"/>
      <c r="P1015" s="93"/>
    </row>
    <row r="1016" spans="3:16" s="146" customFormat="1" ht="18" hidden="1" customHeight="1" x14ac:dyDescent="0.25">
      <c r="C1016" s="336"/>
      <c r="D1016" s="333"/>
      <c r="E1016" s="333"/>
      <c r="F1016" s="333"/>
      <c r="G1016" s="333"/>
      <c r="H1016" s="330"/>
      <c r="I1016" s="330"/>
      <c r="J1016" s="330"/>
      <c r="K1016" s="330"/>
      <c r="L1016" s="330"/>
      <c r="M1016" s="330"/>
      <c r="N1016" s="330"/>
      <c r="O1016" s="94"/>
      <c r="P1016" s="93"/>
    </row>
    <row r="1017" spans="3:16" s="146" customFormat="1" ht="18" hidden="1" customHeight="1" x14ac:dyDescent="0.25">
      <c r="C1017" s="202"/>
      <c r="D1017" s="81"/>
      <c r="E1017" s="81"/>
      <c r="F1017" s="81"/>
      <c r="G1017" s="81"/>
      <c r="H1017" s="81"/>
      <c r="I1017" s="167"/>
      <c r="J1017" s="168"/>
      <c r="K1017" s="167"/>
      <c r="L1017" s="168"/>
      <c r="M1017" s="169"/>
      <c r="N1017" s="169"/>
      <c r="O1017" s="169"/>
      <c r="P1017" s="93"/>
    </row>
    <row r="1018" spans="3:16" s="146" customFormat="1" ht="18" hidden="1" customHeight="1" x14ac:dyDescent="0.25">
      <c r="C1018" s="202"/>
      <c r="D1018" s="81"/>
      <c r="E1018" s="81"/>
      <c r="F1018" s="81"/>
      <c r="G1018" s="81"/>
      <c r="H1018" s="81"/>
      <c r="I1018" s="167"/>
      <c r="J1018" s="168"/>
      <c r="K1018" s="167"/>
      <c r="L1018" s="168"/>
      <c r="M1018" s="169"/>
      <c r="N1018" s="169"/>
      <c r="O1018" s="169"/>
      <c r="P1018" s="93"/>
    </row>
    <row r="1019" spans="3:16" s="146" customFormat="1" ht="18" hidden="1" customHeight="1" x14ac:dyDescent="0.25">
      <c r="C1019" s="202"/>
      <c r="D1019" s="81"/>
      <c r="E1019" s="81"/>
      <c r="F1019" s="81"/>
      <c r="G1019" s="81"/>
      <c r="H1019" s="81"/>
      <c r="I1019" s="167"/>
      <c r="J1019" s="168"/>
      <c r="K1019" s="167"/>
      <c r="L1019" s="168"/>
      <c r="M1019" s="169"/>
      <c r="N1019" s="169"/>
      <c r="O1019" s="169"/>
      <c r="P1019" s="93"/>
    </row>
    <row r="1020" spans="3:16" s="146" customFormat="1" ht="18" hidden="1" customHeight="1" x14ac:dyDescent="0.25">
      <c r="C1020" s="202"/>
      <c r="D1020" s="81"/>
      <c r="E1020" s="81"/>
      <c r="F1020" s="81"/>
      <c r="G1020" s="81"/>
      <c r="H1020" s="81"/>
      <c r="I1020" s="167"/>
      <c r="J1020" s="168"/>
      <c r="K1020" s="167"/>
      <c r="L1020" s="168"/>
      <c r="M1020" s="169"/>
      <c r="N1020" s="169"/>
      <c r="O1020" s="169"/>
      <c r="P1020" s="93"/>
    </row>
    <row r="1021" spans="3:16" s="146" customFormat="1" ht="18" hidden="1" customHeight="1" x14ac:dyDescent="0.25">
      <c r="C1021" s="202"/>
      <c r="D1021" s="81"/>
      <c r="E1021" s="81"/>
      <c r="F1021" s="81"/>
      <c r="G1021" s="81"/>
      <c r="H1021" s="81"/>
      <c r="I1021" s="167"/>
      <c r="J1021" s="168"/>
      <c r="K1021" s="167"/>
      <c r="L1021" s="168"/>
      <c r="M1021" s="169"/>
      <c r="N1021" s="169"/>
      <c r="O1021" s="169"/>
      <c r="P1021" s="93"/>
    </row>
    <row r="1022" spans="3:16" s="146" customFormat="1" ht="18" hidden="1" customHeight="1" x14ac:dyDescent="0.25">
      <c r="C1022" s="80"/>
      <c r="D1022" s="81"/>
      <c r="E1022" s="330"/>
      <c r="F1022" s="330"/>
      <c r="G1022" s="330"/>
      <c r="H1022" s="330"/>
      <c r="I1022" s="330"/>
      <c r="J1022" s="330"/>
      <c r="K1022" s="330"/>
      <c r="L1022" s="330"/>
      <c r="M1022" s="330"/>
      <c r="N1022" s="330"/>
      <c r="O1022" s="94"/>
      <c r="P1022" s="93"/>
    </row>
    <row r="1023" spans="3:16" s="146" customFormat="1" ht="18" hidden="1" customHeight="1" x14ac:dyDescent="0.25">
      <c r="C1023" s="80"/>
      <c r="D1023" s="180"/>
      <c r="E1023" s="180"/>
      <c r="F1023" s="180"/>
      <c r="G1023" s="180"/>
      <c r="H1023" s="180"/>
      <c r="I1023" s="180"/>
      <c r="J1023" s="180"/>
      <c r="K1023" s="180"/>
      <c r="L1023" s="328"/>
      <c r="M1023" s="181"/>
      <c r="N1023" s="182"/>
      <c r="O1023" s="95"/>
      <c r="P1023" s="93"/>
    </row>
    <row r="1024" spans="3:16" s="146" customFormat="1" ht="18" hidden="1" customHeight="1" x14ac:dyDescent="0.25">
      <c r="C1024" s="80"/>
      <c r="D1024" s="331"/>
      <c r="E1024" s="331"/>
      <c r="F1024" s="331"/>
      <c r="G1024" s="331"/>
      <c r="H1024" s="331"/>
      <c r="I1024" s="331"/>
      <c r="J1024" s="331"/>
      <c r="K1024" s="331"/>
      <c r="L1024" s="328"/>
      <c r="M1024" s="332"/>
      <c r="N1024" s="328"/>
      <c r="O1024" s="95"/>
      <c r="P1024" s="93"/>
    </row>
    <row r="1025" spans="2:16" s="146" customFormat="1" ht="18" hidden="1" customHeight="1" x14ac:dyDescent="0.25">
      <c r="C1025" s="80"/>
      <c r="D1025" s="331"/>
      <c r="E1025" s="331"/>
      <c r="F1025" s="331"/>
      <c r="G1025" s="331"/>
      <c r="H1025" s="331"/>
      <c r="I1025" s="331"/>
      <c r="J1025" s="331"/>
      <c r="K1025" s="331"/>
      <c r="L1025" s="328"/>
      <c r="M1025" s="332"/>
      <c r="N1025" s="328"/>
      <c r="O1025" s="95"/>
      <c r="P1025" s="93"/>
    </row>
    <row r="1026" spans="2:16" s="146" customFormat="1" ht="18" hidden="1" customHeight="1" x14ac:dyDescent="0.25">
      <c r="C1026" s="80"/>
      <c r="D1026" s="331"/>
      <c r="E1026" s="331"/>
      <c r="F1026" s="331"/>
      <c r="G1026" s="331"/>
      <c r="H1026" s="331"/>
      <c r="I1026" s="331"/>
      <c r="J1026" s="331"/>
      <c r="K1026" s="331"/>
      <c r="L1026" s="328"/>
      <c r="M1026" s="332"/>
      <c r="N1026" s="328"/>
      <c r="O1026" s="95"/>
      <c r="P1026" s="93"/>
    </row>
    <row r="1027" spans="2:16" s="146" customFormat="1" ht="9.9499999999999993" hidden="1" customHeight="1" thickBot="1" x14ac:dyDescent="0.3">
      <c r="C1027" s="80"/>
      <c r="D1027" s="81"/>
      <c r="E1027" s="81"/>
      <c r="F1027" s="81"/>
      <c r="G1027" s="81"/>
      <c r="H1027" s="81"/>
      <c r="I1027" s="81"/>
      <c r="J1027" s="81"/>
      <c r="K1027" s="81"/>
      <c r="L1027" s="81"/>
      <c r="M1027" s="81"/>
      <c r="N1027" s="81"/>
      <c r="O1027" s="96"/>
      <c r="P1027" s="97"/>
    </row>
    <row r="1028" spans="2:16" s="146" customFormat="1" ht="18" hidden="1" customHeight="1" x14ac:dyDescent="0.25">
      <c r="B1028" s="31" t="s">
        <v>34</v>
      </c>
      <c r="C1028" s="29"/>
      <c r="E1028" s="30"/>
      <c r="F1028" s="30"/>
      <c r="G1028" s="1041" t="s">
        <v>343</v>
      </c>
      <c r="H1028" s="1042"/>
      <c r="I1028" s="1042"/>
      <c r="J1028" s="1043"/>
      <c r="K1028" s="1085">
        <v>0</v>
      </c>
      <c r="L1028" s="1086"/>
      <c r="M1028" s="18"/>
      <c r="N1028" s="18"/>
      <c r="O1028" s="98"/>
      <c r="P1028" s="99"/>
    </row>
    <row r="1029" spans="2:16" s="146" customFormat="1" ht="18" hidden="1" customHeight="1" x14ac:dyDescent="0.25">
      <c r="B1029" s="31" t="str">
        <f>C1013</f>
        <v>3.8</v>
      </c>
      <c r="C1029" s="29"/>
      <c r="E1029" s="30"/>
      <c r="F1029" s="30"/>
      <c r="G1029" s="1082" t="s">
        <v>344</v>
      </c>
      <c r="H1029" s="1083"/>
      <c r="I1029" s="1083"/>
      <c r="J1029" s="1084"/>
      <c r="K1029" s="1075">
        <f>K1028+O1013</f>
        <v>0</v>
      </c>
      <c r="L1029" s="1076"/>
      <c r="M1029" s="18"/>
      <c r="N1029" s="18"/>
      <c r="O1029" s="98"/>
      <c r="P1029" s="99"/>
    </row>
    <row r="1030" spans="2:16" s="146" customFormat="1" ht="18" hidden="1" customHeight="1" x14ac:dyDescent="0.25">
      <c r="C1030" s="29"/>
      <c r="D1030" s="30"/>
      <c r="E1030" s="30"/>
      <c r="F1030" s="30"/>
      <c r="G1030" s="1082" t="s">
        <v>345</v>
      </c>
      <c r="H1030" s="1083"/>
      <c r="I1030" s="1083"/>
      <c r="J1030" s="1084"/>
      <c r="K1030" s="1075">
        <f>'BM DETALHADO'!E73</f>
        <v>300</v>
      </c>
      <c r="L1030" s="1076"/>
      <c r="M1030" s="18"/>
      <c r="N1030" s="18"/>
      <c r="O1030" s="98"/>
      <c r="P1030" s="99"/>
    </row>
    <row r="1031" spans="2:16" s="146" customFormat="1" ht="18" hidden="1" customHeight="1" thickBot="1" x14ac:dyDescent="0.3">
      <c r="C1031" s="29"/>
      <c r="D1031" s="30"/>
      <c r="E1031" s="30"/>
      <c r="F1031" s="30"/>
      <c r="G1031" s="1077" t="s">
        <v>346</v>
      </c>
      <c r="H1031" s="1078"/>
      <c r="I1031" s="1078"/>
      <c r="J1031" s="1079"/>
      <c r="K1031" s="1068">
        <f>K1030-K1029</f>
        <v>300</v>
      </c>
      <c r="L1031" s="1069"/>
      <c r="M1031" s="18"/>
      <c r="N1031" s="18"/>
      <c r="O1031" s="98"/>
      <c r="P1031" s="99"/>
    </row>
    <row r="1032" spans="2:16" s="146" customFormat="1" ht="9.9499999999999993" hidden="1" customHeight="1" thickBot="1" x14ac:dyDescent="0.3">
      <c r="C1032" s="21"/>
      <c r="D1032" s="22"/>
      <c r="E1032" s="22"/>
      <c r="F1032" s="22"/>
      <c r="G1032" s="360"/>
      <c r="H1032" s="360"/>
      <c r="I1032" s="360"/>
      <c r="J1032" s="360"/>
      <c r="K1032" s="361"/>
      <c r="L1032" s="361"/>
      <c r="M1032" s="22"/>
      <c r="N1032" s="22"/>
      <c r="O1032" s="100"/>
      <c r="P1032" s="101"/>
    </row>
    <row r="1033" spans="2:16" s="146" customFormat="1" ht="18" hidden="1" customHeight="1" x14ac:dyDescent="0.25">
      <c r="C1033" s="20" t="s">
        <v>34</v>
      </c>
      <c r="D1033" s="1052" t="s">
        <v>35</v>
      </c>
      <c r="E1033" s="1053"/>
      <c r="F1033" s="1053"/>
      <c r="G1033" s="1053"/>
      <c r="H1033" s="1053"/>
      <c r="I1033" s="1053"/>
      <c r="J1033" s="1053"/>
      <c r="K1033" s="1053"/>
      <c r="L1033" s="1053"/>
      <c r="M1033" s="1054"/>
      <c r="N1033" s="145" t="s">
        <v>0</v>
      </c>
      <c r="O1033" s="1107" t="s">
        <v>4</v>
      </c>
      <c r="P1033" s="1108"/>
    </row>
    <row r="1034" spans="2:16" s="146" customFormat="1" ht="69.95" hidden="1" customHeight="1" thickBot="1" x14ac:dyDescent="0.3">
      <c r="C1034" s="85" t="s">
        <v>188</v>
      </c>
      <c r="D1034" s="1070" t="str">
        <f>VLOOKUP(C1034,'BM DETALHADO'!$B$13:$D$126,2,FALSE)</f>
        <v>GRADEADO DE MADEIRA PROVISÓRIO ELEVADO PARA SUSTENTAÇÃO DE LONA CONTRA CHUVAS E DO MADEIRITE DE ENVELOPAMENTO DE FORROS</v>
      </c>
      <c r="E1034" s="1071"/>
      <c r="F1034" s="1071"/>
      <c r="G1034" s="1071"/>
      <c r="H1034" s="1071"/>
      <c r="I1034" s="1071"/>
      <c r="J1034" s="1071"/>
      <c r="K1034" s="1071"/>
      <c r="L1034" s="1071"/>
      <c r="M1034" s="1072"/>
      <c r="N1034" s="19" t="str">
        <f>VLOOKUP(C1034,'BM DETALHADO'!$B$13:$D$126,3,FALSE)</f>
        <v>M2</v>
      </c>
      <c r="O1034" s="1109"/>
      <c r="P1034" s="1110"/>
    </row>
    <row r="1035" spans="2:16" s="146" customFormat="1" ht="9.9499999999999993" hidden="1" customHeight="1" x14ac:dyDescent="0.25">
      <c r="C1035" s="77"/>
      <c r="D1035" s="78"/>
      <c r="E1035" s="79"/>
      <c r="F1035" s="79"/>
      <c r="G1035" s="79"/>
      <c r="H1035" s="79"/>
      <c r="I1035" s="79"/>
      <c r="J1035" s="79"/>
      <c r="K1035" s="79"/>
      <c r="L1035" s="79"/>
      <c r="M1035" s="79"/>
      <c r="N1035" s="79"/>
      <c r="O1035" s="91"/>
      <c r="P1035" s="92"/>
    </row>
    <row r="1036" spans="2:16" s="146" customFormat="1" ht="18" hidden="1" customHeight="1" x14ac:dyDescent="0.25">
      <c r="C1036" s="336"/>
      <c r="D1036" s="1031" t="s">
        <v>308</v>
      </c>
      <c r="E1036" s="1031"/>
      <c r="F1036" s="1031"/>
      <c r="G1036" s="318" t="s">
        <v>413</v>
      </c>
      <c r="H1036" s="671" t="s">
        <v>328</v>
      </c>
      <c r="I1036" s="592" t="s">
        <v>411</v>
      </c>
      <c r="J1036" s="508" t="s">
        <v>412</v>
      </c>
      <c r="K1036" s="592" t="s">
        <v>291</v>
      </c>
      <c r="L1036" s="508" t="s">
        <v>279</v>
      </c>
      <c r="M1036" s="219"/>
      <c r="N1036" s="219"/>
      <c r="O1036" s="219"/>
      <c r="P1036" s="374"/>
    </row>
    <row r="1037" spans="2:16" s="146" customFormat="1" ht="18" hidden="1" customHeight="1" x14ac:dyDescent="0.25">
      <c r="C1037" s="336"/>
      <c r="D1037" s="1356"/>
      <c r="E1037" s="1356"/>
      <c r="F1037" s="1356"/>
      <c r="G1037" s="746"/>
      <c r="H1037" s="746"/>
      <c r="I1037" s="746"/>
      <c r="J1037" s="741"/>
      <c r="K1037" s="746">
        <f>I1037*J1037</f>
        <v>0</v>
      </c>
      <c r="L1037" s="682" t="s">
        <v>292</v>
      </c>
      <c r="M1037" s="679"/>
      <c r="N1037" s="679"/>
      <c r="O1037" s="94"/>
      <c r="P1037" s="93"/>
    </row>
    <row r="1038" spans="2:16" s="146" customFormat="1" ht="18" hidden="1" customHeight="1" x14ac:dyDescent="0.25">
      <c r="C1038" s="202"/>
      <c r="D1038" s="1031" t="s">
        <v>19</v>
      </c>
      <c r="E1038" s="1031"/>
      <c r="F1038" s="1031"/>
      <c r="G1038" s="1031"/>
      <c r="H1038" s="1031"/>
      <c r="I1038" s="1031"/>
      <c r="J1038" s="1031"/>
      <c r="K1038" s="464">
        <f>SUM(K1037)</f>
        <v>0</v>
      </c>
      <c r="L1038" s="508" t="s">
        <v>292</v>
      </c>
      <c r="M1038" s="169"/>
      <c r="N1038" s="169"/>
      <c r="O1038" s="169"/>
      <c r="P1038" s="93"/>
    </row>
    <row r="1039" spans="2:16" s="146" customFormat="1" ht="18" hidden="1" customHeight="1" x14ac:dyDescent="0.25">
      <c r="C1039" s="202"/>
      <c r="D1039" s="211"/>
      <c r="E1039" s="211"/>
      <c r="F1039" s="211"/>
      <c r="G1039" s="263"/>
      <c r="H1039" s="263"/>
      <c r="I1039" s="263"/>
      <c r="J1039" s="215"/>
      <c r="K1039" s="215"/>
      <c r="L1039" s="216"/>
      <c r="M1039" s="169"/>
      <c r="N1039" s="169"/>
      <c r="O1039" s="169"/>
      <c r="P1039" s="93"/>
    </row>
    <row r="1040" spans="2:16" s="146" customFormat="1" ht="9.9499999999999993" hidden="1" customHeight="1" x14ac:dyDescent="0.25">
      <c r="C1040" s="80"/>
      <c r="D1040" s="81"/>
      <c r="E1040" s="81"/>
      <c r="F1040" s="81"/>
      <c r="G1040" s="81"/>
      <c r="H1040" s="81"/>
      <c r="I1040" s="81"/>
      <c r="J1040" s="81"/>
      <c r="K1040" s="81"/>
      <c r="L1040" s="81"/>
      <c r="M1040" s="81"/>
      <c r="N1040" s="81"/>
      <c r="O1040" s="96"/>
      <c r="P1040" s="97"/>
    </row>
    <row r="1041" spans="2:16" s="611" customFormat="1" ht="24" hidden="1" customHeight="1" x14ac:dyDescent="0.25">
      <c r="C1041" s="80"/>
      <c r="D1041" s="81"/>
      <c r="E1041" s="81"/>
      <c r="F1041" s="81"/>
      <c r="G1041" s="81"/>
      <c r="H1041" s="81"/>
      <c r="I1041" s="81"/>
      <c r="J1041" s="81"/>
      <c r="K1041" s="81"/>
      <c r="L1041" s="81"/>
      <c r="M1041" s="81"/>
      <c r="N1041" s="81"/>
      <c r="O1041" s="96"/>
      <c r="P1041" s="97"/>
    </row>
    <row r="1042" spans="2:16" s="611" customFormat="1" ht="24" hidden="1" customHeight="1" x14ac:dyDescent="0.25">
      <c r="C1042" s="80"/>
      <c r="D1042" s="81"/>
      <c r="E1042" s="81"/>
      <c r="F1042" s="81"/>
      <c r="G1042" s="81"/>
      <c r="H1042" s="81"/>
      <c r="I1042" s="81"/>
      <c r="J1042" s="81"/>
      <c r="K1042" s="81"/>
      <c r="L1042" s="81"/>
      <c r="M1042" s="81"/>
      <c r="N1042" s="81"/>
      <c r="O1042" s="96"/>
      <c r="P1042" s="97"/>
    </row>
    <row r="1043" spans="2:16" s="611" customFormat="1" ht="24" hidden="1" customHeight="1" thickBot="1" x14ac:dyDescent="0.3">
      <c r="C1043" s="80"/>
      <c r="D1043" s="81"/>
      <c r="E1043" s="81"/>
      <c r="F1043" s="81"/>
      <c r="G1043" s="81"/>
      <c r="H1043" s="81"/>
      <c r="I1043" s="81"/>
      <c r="J1043" s="81"/>
      <c r="K1043" s="81"/>
      <c r="L1043" s="81"/>
      <c r="M1043" s="81"/>
      <c r="N1043" s="81"/>
      <c r="O1043" s="96"/>
      <c r="P1043" s="97"/>
    </row>
    <row r="1044" spans="2:16" s="146" customFormat="1" ht="18" hidden="1" customHeight="1" x14ac:dyDescent="0.25">
      <c r="B1044" s="31" t="s">
        <v>34</v>
      </c>
      <c r="C1044" s="29"/>
      <c r="E1044" s="30"/>
      <c r="F1044" s="30"/>
      <c r="G1044" s="1041" t="s">
        <v>343</v>
      </c>
      <c r="H1044" s="1042"/>
      <c r="I1044" s="1042"/>
      <c r="J1044" s="1043"/>
      <c r="K1044" s="1085">
        <f>'[27]MEMÓRIA DE CÁLCULO'!$K$1046</f>
        <v>441.36500000000001</v>
      </c>
      <c r="L1044" s="1086"/>
      <c r="M1044" s="18"/>
      <c r="N1044" s="18"/>
      <c r="O1044" s="98"/>
      <c r="P1044" s="99"/>
    </row>
    <row r="1045" spans="2:16" s="146" customFormat="1" ht="18" hidden="1" customHeight="1" x14ac:dyDescent="0.25">
      <c r="B1045" s="31" t="str">
        <f>C1034</f>
        <v>3.9</v>
      </c>
      <c r="C1045" s="29"/>
      <c r="E1045" s="30"/>
      <c r="F1045" s="30"/>
      <c r="G1045" s="1082" t="s">
        <v>344</v>
      </c>
      <c r="H1045" s="1083"/>
      <c r="I1045" s="1083"/>
      <c r="J1045" s="1084"/>
      <c r="K1045" s="1075">
        <f>K1044+O1034</f>
        <v>441.36500000000001</v>
      </c>
      <c r="L1045" s="1076"/>
      <c r="M1045" s="18"/>
      <c r="N1045" s="18"/>
      <c r="O1045" s="98"/>
      <c r="P1045" s="99"/>
    </row>
    <row r="1046" spans="2:16" s="146" customFormat="1" ht="18" hidden="1" customHeight="1" x14ac:dyDescent="0.25">
      <c r="C1046" s="29"/>
      <c r="D1046" s="30"/>
      <c r="E1046" s="30"/>
      <c r="F1046" s="30"/>
      <c r="G1046" s="1082" t="s">
        <v>345</v>
      </c>
      <c r="H1046" s="1083"/>
      <c r="I1046" s="1083"/>
      <c r="J1046" s="1084"/>
      <c r="K1046" s="1075">
        <f>'BM DETALHADO'!E75</f>
        <v>800</v>
      </c>
      <c r="L1046" s="1076"/>
      <c r="M1046" s="18"/>
      <c r="N1046" s="18"/>
      <c r="O1046" s="98"/>
      <c r="P1046" s="99"/>
    </row>
    <row r="1047" spans="2:16" s="146" customFormat="1" ht="18" hidden="1" customHeight="1" thickBot="1" x14ac:dyDescent="0.3">
      <c r="C1047" s="29"/>
      <c r="D1047" s="30"/>
      <c r="E1047" s="30"/>
      <c r="F1047" s="30"/>
      <c r="G1047" s="1077" t="s">
        <v>346</v>
      </c>
      <c r="H1047" s="1078"/>
      <c r="I1047" s="1078"/>
      <c r="J1047" s="1079"/>
      <c r="K1047" s="1068">
        <f>K1046-K1045</f>
        <v>358.63499999999999</v>
      </c>
      <c r="L1047" s="1069"/>
      <c r="M1047" s="18"/>
      <c r="N1047" s="18"/>
      <c r="O1047" s="98"/>
      <c r="P1047" s="99"/>
    </row>
    <row r="1048" spans="2:16" s="146" customFormat="1" ht="9.9499999999999993" hidden="1" customHeight="1" thickBot="1" x14ac:dyDescent="0.3">
      <c r="C1048" s="21"/>
      <c r="D1048" s="22"/>
      <c r="E1048" s="22"/>
      <c r="F1048" s="22"/>
      <c r="G1048" s="360"/>
      <c r="H1048" s="360"/>
      <c r="I1048" s="360"/>
      <c r="J1048" s="360"/>
      <c r="K1048" s="361"/>
      <c r="L1048" s="361"/>
      <c r="M1048" s="22"/>
      <c r="N1048" s="22"/>
      <c r="O1048" s="100"/>
      <c r="P1048" s="101"/>
    </row>
    <row r="1049" spans="2:16" s="146" customFormat="1" ht="18" hidden="1" customHeight="1" x14ac:dyDescent="0.25">
      <c r="C1049" s="20" t="s">
        <v>34</v>
      </c>
      <c r="D1049" s="1052" t="s">
        <v>35</v>
      </c>
      <c r="E1049" s="1053"/>
      <c r="F1049" s="1053"/>
      <c r="G1049" s="1053"/>
      <c r="H1049" s="1053"/>
      <c r="I1049" s="1053"/>
      <c r="J1049" s="1053"/>
      <c r="K1049" s="1053"/>
      <c r="L1049" s="1053"/>
      <c r="M1049" s="1054"/>
      <c r="N1049" s="145" t="s">
        <v>0</v>
      </c>
      <c r="O1049" s="1107" t="s">
        <v>4</v>
      </c>
      <c r="P1049" s="1108"/>
    </row>
    <row r="1050" spans="2:16" s="146" customFormat="1" ht="69.95" hidden="1" customHeight="1" thickBot="1" x14ac:dyDescent="0.3">
      <c r="C1050" s="85" t="s">
        <v>190</v>
      </c>
      <c r="D1050" s="1070" t="str">
        <f>VLOOKUP(C1050,'BM DETALHADO'!$B$13:$D$126,2,FALSE)</f>
        <v xml:space="preserve">LONA PLÁSTICA COBERTURA PROVISÓRIA CONTRA CHUVAS </v>
      </c>
      <c r="E1050" s="1071"/>
      <c r="F1050" s="1071"/>
      <c r="G1050" s="1071"/>
      <c r="H1050" s="1071"/>
      <c r="I1050" s="1071"/>
      <c r="J1050" s="1071"/>
      <c r="K1050" s="1071"/>
      <c r="L1050" s="1071"/>
      <c r="M1050" s="1072"/>
      <c r="N1050" s="19" t="str">
        <f>VLOOKUP(C1050,'BM DETALHADO'!$B$13:$D$126,3,FALSE)</f>
        <v>M2</v>
      </c>
      <c r="O1050" s="1109"/>
      <c r="P1050" s="1110"/>
    </row>
    <row r="1051" spans="2:16" s="146" customFormat="1" ht="9.9499999999999993" hidden="1" customHeight="1" x14ac:dyDescent="0.25">
      <c r="C1051" s="77"/>
      <c r="D1051" s="78"/>
      <c r="E1051" s="79"/>
      <c r="F1051" s="79"/>
      <c r="G1051" s="79"/>
      <c r="H1051" s="79"/>
      <c r="I1051" s="79"/>
      <c r="J1051" s="79"/>
      <c r="K1051" s="79"/>
      <c r="L1051" s="79"/>
      <c r="M1051" s="79"/>
      <c r="N1051" s="79"/>
      <c r="O1051" s="91"/>
      <c r="P1051" s="92"/>
    </row>
    <row r="1052" spans="2:16" s="146" customFormat="1" ht="18" hidden="1" customHeight="1" x14ac:dyDescent="0.25">
      <c r="C1052" s="336"/>
      <c r="D1052" s="1031" t="s">
        <v>308</v>
      </c>
      <c r="E1052" s="1031"/>
      <c r="F1052" s="1031"/>
      <c r="G1052" s="318" t="s">
        <v>389</v>
      </c>
      <c r="H1052" s="671" t="s">
        <v>339</v>
      </c>
      <c r="I1052" s="592" t="s">
        <v>411</v>
      </c>
      <c r="J1052" s="508" t="s">
        <v>412</v>
      </c>
      <c r="K1052" s="592" t="s">
        <v>291</v>
      </c>
      <c r="L1052" s="508" t="s">
        <v>279</v>
      </c>
      <c r="M1052" s="219"/>
      <c r="N1052" s="219"/>
      <c r="O1052" s="219"/>
      <c r="P1052" s="374"/>
    </row>
    <row r="1053" spans="2:16" s="146" customFormat="1" ht="18" hidden="1" customHeight="1" x14ac:dyDescent="0.25">
      <c r="C1053" s="336"/>
      <c r="D1053" s="1356"/>
      <c r="E1053" s="1356"/>
      <c r="F1053" s="1356"/>
      <c r="G1053" s="746"/>
      <c r="H1053" s="746"/>
      <c r="I1053" s="746"/>
      <c r="J1053" s="741"/>
      <c r="K1053" s="746">
        <f>I1053*J1053</f>
        <v>0</v>
      </c>
      <c r="L1053" s="682" t="s">
        <v>292</v>
      </c>
      <c r="M1053" s="330"/>
      <c r="N1053" s="330"/>
      <c r="O1053" s="94"/>
      <c r="P1053" s="93"/>
    </row>
    <row r="1054" spans="2:16" s="146" customFormat="1" ht="18" hidden="1" customHeight="1" x14ac:dyDescent="0.25">
      <c r="C1054" s="202"/>
      <c r="D1054" s="1031" t="s">
        <v>19</v>
      </c>
      <c r="E1054" s="1031"/>
      <c r="F1054" s="1031"/>
      <c r="G1054" s="1031"/>
      <c r="H1054" s="1031"/>
      <c r="I1054" s="1031"/>
      <c r="J1054" s="1031"/>
      <c r="K1054" s="464">
        <f>SUM(K1053)</f>
        <v>0</v>
      </c>
      <c r="L1054" s="508" t="s">
        <v>292</v>
      </c>
      <c r="M1054" s="169"/>
      <c r="N1054" s="169"/>
      <c r="O1054" s="169"/>
      <c r="P1054" s="93"/>
    </row>
    <row r="1055" spans="2:16" s="611" customFormat="1" ht="18" hidden="1" customHeight="1" x14ac:dyDescent="0.25">
      <c r="C1055" s="202"/>
      <c r="D1055" s="670"/>
      <c r="E1055" s="670"/>
      <c r="F1055" s="670"/>
      <c r="G1055" s="670"/>
      <c r="H1055" s="670"/>
      <c r="I1055" s="670"/>
      <c r="J1055" s="670"/>
      <c r="K1055" s="298"/>
      <c r="L1055" s="694"/>
      <c r="M1055" s="169"/>
      <c r="N1055" s="169"/>
      <c r="O1055" s="169"/>
      <c r="P1055" s="93"/>
    </row>
    <row r="1056" spans="2:16" s="611" customFormat="1" ht="18" hidden="1" customHeight="1" x14ac:dyDescent="0.25">
      <c r="C1056" s="202"/>
      <c r="D1056" s="670"/>
      <c r="E1056" s="670"/>
      <c r="F1056" s="670"/>
      <c r="G1056" s="670"/>
      <c r="H1056" s="670"/>
      <c r="I1056" s="670"/>
      <c r="J1056" s="670"/>
      <c r="K1056" s="298"/>
      <c r="L1056" s="694"/>
      <c r="M1056" s="169"/>
      <c r="N1056" s="169"/>
      <c r="O1056" s="169"/>
      <c r="P1056" s="93"/>
    </row>
    <row r="1057" spans="2:16" s="611" customFormat="1" ht="18" hidden="1" customHeight="1" x14ac:dyDescent="0.25">
      <c r="C1057" s="202"/>
      <c r="D1057" s="670"/>
      <c r="E1057" s="670"/>
      <c r="F1057" s="670"/>
      <c r="G1057" s="670"/>
      <c r="H1057" s="670"/>
      <c r="I1057" s="670"/>
      <c r="J1057" s="670"/>
      <c r="K1057" s="298"/>
      <c r="L1057" s="694"/>
      <c r="M1057" s="169"/>
      <c r="N1057" s="169"/>
      <c r="O1057" s="169"/>
      <c r="P1057" s="93"/>
    </row>
    <row r="1058" spans="2:16" s="611" customFormat="1" ht="18" hidden="1" customHeight="1" x14ac:dyDescent="0.25">
      <c r="C1058" s="202"/>
      <c r="D1058" s="670"/>
      <c r="E1058" s="670"/>
      <c r="F1058" s="670"/>
      <c r="G1058" s="670"/>
      <c r="H1058" s="670"/>
      <c r="I1058" s="670"/>
      <c r="J1058" s="670"/>
      <c r="K1058" s="298"/>
      <c r="L1058" s="694"/>
      <c r="M1058" s="169"/>
      <c r="N1058" s="169"/>
      <c r="O1058" s="169"/>
      <c r="P1058" s="93"/>
    </row>
    <row r="1059" spans="2:16" s="611" customFormat="1" ht="18" hidden="1" customHeight="1" x14ac:dyDescent="0.25">
      <c r="C1059" s="202"/>
      <c r="D1059" s="670"/>
      <c r="E1059" s="670"/>
      <c r="F1059" s="670"/>
      <c r="G1059" s="670"/>
      <c r="H1059" s="670"/>
      <c r="I1059" s="670"/>
      <c r="J1059" s="670"/>
      <c r="K1059" s="298"/>
      <c r="L1059" s="694"/>
      <c r="M1059" s="169"/>
      <c r="N1059" s="169"/>
      <c r="O1059" s="169"/>
      <c r="P1059" s="93"/>
    </row>
    <row r="1060" spans="2:16" s="611" customFormat="1" ht="18" hidden="1" customHeight="1" x14ac:dyDescent="0.25">
      <c r="C1060" s="202"/>
      <c r="D1060" s="670"/>
      <c r="E1060" s="670"/>
      <c r="F1060" s="670"/>
      <c r="G1060" s="670"/>
      <c r="H1060" s="670"/>
      <c r="I1060" s="670"/>
      <c r="J1060" s="670"/>
      <c r="K1060" s="298"/>
      <c r="L1060" s="694"/>
      <c r="M1060" s="169"/>
      <c r="N1060" s="169"/>
      <c r="O1060" s="169"/>
      <c r="P1060" s="93"/>
    </row>
    <row r="1061" spans="2:16" s="146" customFormat="1" ht="18" hidden="1" customHeight="1" x14ac:dyDescent="0.25">
      <c r="C1061" s="202"/>
      <c r="D1061" s="1040"/>
      <c r="E1061" s="1040"/>
      <c r="F1061" s="1040"/>
      <c r="G1061" s="681"/>
      <c r="H1061" s="681"/>
      <c r="I1061" s="681"/>
      <c r="J1061" s="669"/>
      <c r="K1061" s="683"/>
      <c r="L1061" s="684"/>
      <c r="M1061" s="169"/>
      <c r="N1061" s="169"/>
      <c r="O1061" s="169"/>
      <c r="P1061" s="93"/>
    </row>
    <row r="1062" spans="2:16" s="611" customFormat="1" ht="18" hidden="1" customHeight="1" x14ac:dyDescent="0.25">
      <c r="C1062" s="202"/>
      <c r="D1062" s="676"/>
      <c r="E1062" s="676"/>
      <c r="F1062" s="676"/>
      <c r="G1062" s="681"/>
      <c r="H1062" s="681"/>
      <c r="I1062" s="681"/>
      <c r="J1062" s="669"/>
      <c r="K1062" s="683"/>
      <c r="L1062" s="684"/>
      <c r="M1062" s="169"/>
      <c r="N1062" s="169"/>
      <c r="O1062" s="169"/>
      <c r="P1062" s="93"/>
    </row>
    <row r="1063" spans="2:16" s="611" customFormat="1" ht="18" hidden="1" customHeight="1" x14ac:dyDescent="0.25">
      <c r="C1063" s="202"/>
      <c r="D1063" s="676"/>
      <c r="E1063" s="676"/>
      <c r="F1063" s="676"/>
      <c r="G1063" s="681"/>
      <c r="H1063" s="681"/>
      <c r="I1063" s="681"/>
      <c r="J1063" s="669"/>
      <c r="K1063" s="683"/>
      <c r="L1063" s="684"/>
      <c r="M1063" s="169"/>
      <c r="N1063" s="169"/>
      <c r="O1063" s="169"/>
      <c r="P1063" s="93"/>
    </row>
    <row r="1064" spans="2:16" s="146" customFormat="1" ht="9.9499999999999993" hidden="1" customHeight="1" thickBot="1" x14ac:dyDescent="0.3">
      <c r="C1064" s="80"/>
      <c r="D1064" s="81"/>
      <c r="E1064" s="81"/>
      <c r="F1064" s="81"/>
      <c r="G1064" s="81"/>
      <c r="H1064" s="81"/>
      <c r="I1064" s="81"/>
      <c r="J1064" s="81"/>
      <c r="K1064" s="81"/>
      <c r="L1064" s="81"/>
      <c r="M1064" s="81"/>
      <c r="N1064" s="81"/>
      <c r="O1064" s="96"/>
      <c r="P1064" s="97"/>
    </row>
    <row r="1065" spans="2:16" s="146" customFormat="1" ht="18" hidden="1" customHeight="1" x14ac:dyDescent="0.25">
      <c r="B1065" s="31" t="s">
        <v>34</v>
      </c>
      <c r="C1065" s="29"/>
      <c r="E1065" s="30"/>
      <c r="F1065" s="30"/>
      <c r="G1065" s="1041" t="s">
        <v>343</v>
      </c>
      <c r="H1065" s="1042"/>
      <c r="I1065" s="1042"/>
      <c r="J1065" s="1043"/>
      <c r="K1065" s="1085">
        <f>'[27]MEMÓRIA DE CÁLCULO'!$K$1067</f>
        <v>478.98500000000001</v>
      </c>
      <c r="L1065" s="1086"/>
      <c r="M1065" s="18"/>
      <c r="N1065" s="18"/>
      <c r="O1065" s="98"/>
      <c r="P1065" s="99"/>
    </row>
    <row r="1066" spans="2:16" s="146" customFormat="1" ht="18" hidden="1" customHeight="1" x14ac:dyDescent="0.25">
      <c r="B1066" s="31" t="str">
        <f>C1050</f>
        <v>3.10</v>
      </c>
      <c r="C1066" s="29"/>
      <c r="E1066" s="30"/>
      <c r="F1066" s="30"/>
      <c r="G1066" s="1082" t="s">
        <v>344</v>
      </c>
      <c r="H1066" s="1083"/>
      <c r="I1066" s="1083"/>
      <c r="J1066" s="1084"/>
      <c r="K1066" s="1075">
        <f>K1065+O1050</f>
        <v>478.98500000000001</v>
      </c>
      <c r="L1066" s="1076"/>
      <c r="M1066" s="18"/>
      <c r="N1066" s="18"/>
      <c r="O1066" s="98"/>
      <c r="P1066" s="99"/>
    </row>
    <row r="1067" spans="2:16" s="146" customFormat="1" ht="18" hidden="1" customHeight="1" x14ac:dyDescent="0.25">
      <c r="C1067" s="29"/>
      <c r="D1067" s="30"/>
      <c r="E1067" s="30"/>
      <c r="F1067" s="30"/>
      <c r="G1067" s="1082" t="s">
        <v>345</v>
      </c>
      <c r="H1067" s="1083"/>
      <c r="I1067" s="1083"/>
      <c r="J1067" s="1084"/>
      <c r="K1067" s="1075">
        <f>VLOOKUP(C1050,'[26]BM DETALHADO'!$B$13:$E$126,4,FALSE)</f>
        <v>800</v>
      </c>
      <c r="L1067" s="1076"/>
      <c r="M1067" s="18"/>
      <c r="N1067" s="18"/>
      <c r="O1067" s="98"/>
      <c r="P1067" s="99"/>
    </row>
    <row r="1068" spans="2:16" s="146" customFormat="1" ht="18" hidden="1" customHeight="1" thickBot="1" x14ac:dyDescent="0.3">
      <c r="C1068" s="29"/>
      <c r="D1068" s="30"/>
      <c r="E1068" s="30"/>
      <c r="F1068" s="30"/>
      <c r="G1068" s="1077" t="s">
        <v>346</v>
      </c>
      <c r="H1068" s="1078"/>
      <c r="I1068" s="1078"/>
      <c r="J1068" s="1079"/>
      <c r="K1068" s="1068">
        <f>K1067-K1066</f>
        <v>321.01499999999999</v>
      </c>
      <c r="L1068" s="1069"/>
      <c r="M1068" s="18"/>
      <c r="N1068" s="18"/>
      <c r="O1068" s="98"/>
      <c r="P1068" s="99"/>
    </row>
    <row r="1069" spans="2:16" s="146" customFormat="1" ht="9.9499999999999993" hidden="1" customHeight="1" thickBot="1" x14ac:dyDescent="0.3">
      <c r="C1069" s="21"/>
      <c r="D1069" s="22"/>
      <c r="E1069" s="22"/>
      <c r="F1069" s="22"/>
      <c r="G1069" s="27"/>
      <c r="H1069" s="27"/>
      <c r="I1069" s="27"/>
      <c r="J1069" s="27"/>
      <c r="K1069" s="28"/>
      <c r="L1069" s="28"/>
      <c r="M1069" s="22"/>
      <c r="N1069" s="22"/>
      <c r="O1069" s="100"/>
      <c r="P1069" s="101"/>
    </row>
    <row r="1070" spans="2:16" s="146" customFormat="1" ht="18" hidden="1" customHeight="1" thickBot="1" x14ac:dyDescent="0.3">
      <c r="C1070" s="20" t="s">
        <v>34</v>
      </c>
      <c r="D1070" s="1052" t="s">
        <v>35</v>
      </c>
      <c r="E1070" s="1053"/>
      <c r="F1070" s="1053"/>
      <c r="G1070" s="1053"/>
      <c r="H1070" s="1053"/>
      <c r="I1070" s="1053"/>
      <c r="J1070" s="1053"/>
      <c r="K1070" s="1053"/>
      <c r="L1070" s="1053"/>
      <c r="M1070" s="1054"/>
      <c r="N1070" s="145" t="s">
        <v>0</v>
      </c>
      <c r="O1070" s="1107" t="s">
        <v>4</v>
      </c>
      <c r="P1070" s="1108"/>
    </row>
    <row r="1071" spans="2:16" s="146" customFormat="1" ht="69.95" hidden="1" customHeight="1" thickBot="1" x14ac:dyDescent="0.3">
      <c r="C1071" s="85" t="s">
        <v>192</v>
      </c>
      <c r="D1071" s="1070" t="str">
        <f>VLOOKUP(C1071,'BM DETALHADO'!$B$13:$D$126,2,FALSE)</f>
        <v xml:space="preserve">FORMA DE MADEIRA  PROTEÇÃO DOS FORROS, PRESOS E SUSTENTADOS NO PISO E NO ENGRADAMENTO DA COBERTURA PROVISÓRIA, INCLUSIVE ESPUMA PARA CALÇAR SUAVEMENTE </v>
      </c>
      <c r="E1071" s="1071"/>
      <c r="F1071" s="1071"/>
      <c r="G1071" s="1071"/>
      <c r="H1071" s="1071"/>
      <c r="I1071" s="1071"/>
      <c r="J1071" s="1071"/>
      <c r="K1071" s="1071"/>
      <c r="L1071" s="1071"/>
      <c r="M1071" s="1072"/>
      <c r="N1071" s="19" t="str">
        <f>VLOOKUP(C1071,'BM DETALHADO'!$B$13:$D$126,3,FALSE)</f>
        <v>M2</v>
      </c>
      <c r="O1071" s="1109"/>
      <c r="P1071" s="1110"/>
    </row>
    <row r="1072" spans="2:16" s="146" customFormat="1" ht="9.9499999999999993" hidden="1" customHeight="1" x14ac:dyDescent="0.25">
      <c r="C1072" s="77"/>
      <c r="D1072" s="78"/>
      <c r="E1072" s="79"/>
      <c r="F1072" s="79"/>
      <c r="G1072" s="79"/>
      <c r="H1072" s="79"/>
      <c r="I1072" s="79"/>
      <c r="J1072" s="79"/>
      <c r="K1072" s="79"/>
      <c r="L1072" s="79"/>
      <c r="M1072" s="79"/>
      <c r="N1072" s="79"/>
      <c r="O1072" s="91"/>
      <c r="P1072" s="92"/>
    </row>
    <row r="1073" spans="2:16" s="146" customFormat="1" ht="18" hidden="1" customHeight="1" x14ac:dyDescent="0.25">
      <c r="C1073" s="336"/>
      <c r="D1073" s="219"/>
      <c r="E1073" s="219"/>
      <c r="F1073" s="219"/>
      <c r="G1073" s="219"/>
      <c r="H1073" s="219"/>
      <c r="I1073" s="219"/>
      <c r="J1073" s="219"/>
      <c r="K1073" s="219"/>
      <c r="L1073" s="219"/>
      <c r="M1073" s="219"/>
      <c r="N1073" s="219"/>
      <c r="O1073" s="219"/>
      <c r="P1073" s="374"/>
    </row>
    <row r="1074" spans="2:16" s="146" customFormat="1" ht="18" hidden="1" customHeight="1" x14ac:dyDescent="0.25">
      <c r="C1074" s="202"/>
      <c r="D1074" s="81"/>
      <c r="E1074" s="81"/>
      <c r="F1074" s="81"/>
      <c r="G1074" s="81"/>
      <c r="H1074" s="330"/>
      <c r="I1074" s="330"/>
      <c r="J1074" s="330"/>
      <c r="K1074" s="330"/>
      <c r="L1074" s="330"/>
      <c r="M1074" s="330"/>
      <c r="N1074" s="330"/>
      <c r="O1074" s="94"/>
      <c r="P1074" s="93"/>
    </row>
    <row r="1075" spans="2:16" s="146" customFormat="1" ht="18" hidden="1" customHeight="1" x14ac:dyDescent="0.25">
      <c r="C1075" s="202"/>
      <c r="D1075" s="81"/>
      <c r="E1075" s="81"/>
      <c r="F1075" s="192"/>
      <c r="G1075" s="192"/>
      <c r="H1075" s="81"/>
      <c r="I1075" s="167"/>
      <c r="J1075" s="168"/>
      <c r="K1075" s="167"/>
      <c r="L1075" s="168"/>
      <c r="M1075" s="169"/>
      <c r="N1075" s="169"/>
      <c r="O1075" s="169"/>
      <c r="P1075" s="93"/>
    </row>
    <row r="1076" spans="2:16" s="146" customFormat="1" ht="18" hidden="1" customHeight="1" x14ac:dyDescent="0.25">
      <c r="C1076" s="202"/>
      <c r="D1076" s="81"/>
      <c r="E1076" s="81"/>
      <c r="F1076" s="192"/>
      <c r="G1076" s="192"/>
      <c r="H1076" s="81"/>
      <c r="I1076" s="167"/>
      <c r="J1076" s="168"/>
      <c r="K1076" s="167"/>
      <c r="L1076" s="168"/>
      <c r="M1076" s="169"/>
      <c r="N1076" s="169"/>
      <c r="O1076" s="169"/>
      <c r="P1076" s="93"/>
    </row>
    <row r="1077" spans="2:16" s="146" customFormat="1" ht="18" hidden="1" customHeight="1" x14ac:dyDescent="0.25">
      <c r="C1077" s="202"/>
      <c r="D1077" s="81"/>
      <c r="E1077" s="81"/>
      <c r="F1077" s="192"/>
      <c r="G1077" s="192"/>
      <c r="H1077" s="81"/>
      <c r="I1077" s="167"/>
      <c r="J1077" s="168"/>
      <c r="K1077" s="167"/>
      <c r="L1077" s="168"/>
      <c r="M1077" s="169"/>
      <c r="N1077" s="169"/>
      <c r="O1077" s="169"/>
      <c r="P1077" s="93"/>
    </row>
    <row r="1078" spans="2:16" s="146" customFormat="1" ht="18" hidden="1" customHeight="1" x14ac:dyDescent="0.25">
      <c r="C1078" s="202"/>
      <c r="D1078" s="81"/>
      <c r="E1078" s="81"/>
      <c r="F1078" s="192"/>
      <c r="G1078" s="192"/>
      <c r="H1078" s="81"/>
      <c r="I1078" s="167"/>
      <c r="J1078" s="168"/>
      <c r="K1078" s="167"/>
      <c r="L1078" s="168"/>
      <c r="M1078" s="169"/>
      <c r="N1078" s="169"/>
      <c r="O1078" s="169"/>
      <c r="P1078" s="93"/>
    </row>
    <row r="1079" spans="2:16" s="146" customFormat="1" ht="18" hidden="1" customHeight="1" x14ac:dyDescent="0.25">
      <c r="C1079" s="80"/>
      <c r="D1079" s="81"/>
      <c r="E1079" s="81"/>
      <c r="F1079" s="192"/>
      <c r="G1079" s="192"/>
      <c r="H1079" s="81"/>
      <c r="I1079" s="167"/>
      <c r="J1079" s="168"/>
      <c r="K1079" s="167"/>
      <c r="L1079" s="168"/>
      <c r="M1079" s="169"/>
      <c r="N1079" s="169"/>
      <c r="O1079" s="169"/>
      <c r="P1079" s="93"/>
    </row>
    <row r="1080" spans="2:16" s="146" customFormat="1" ht="18" hidden="1" customHeight="1" x14ac:dyDescent="0.25">
      <c r="C1080" s="80"/>
      <c r="D1080" s="81"/>
      <c r="E1080" s="81"/>
      <c r="F1080" s="192"/>
      <c r="G1080" s="192"/>
      <c r="H1080" s="330"/>
      <c r="I1080" s="330"/>
      <c r="J1080" s="330"/>
      <c r="K1080" s="330"/>
      <c r="L1080" s="330"/>
      <c r="M1080" s="330"/>
      <c r="N1080" s="330"/>
      <c r="O1080" s="94"/>
      <c r="P1080" s="93"/>
    </row>
    <row r="1081" spans="2:16" s="146" customFormat="1" ht="18" hidden="1" customHeight="1" x14ac:dyDescent="0.25">
      <c r="C1081" s="80"/>
      <c r="D1081" s="81"/>
      <c r="E1081" s="81"/>
      <c r="F1081" s="192"/>
      <c r="G1081" s="81"/>
      <c r="H1081" s="81"/>
      <c r="I1081" s="180"/>
      <c r="J1081" s="180"/>
      <c r="K1081" s="180"/>
      <c r="L1081" s="328"/>
      <c r="M1081" s="181"/>
      <c r="N1081" s="182"/>
      <c r="O1081" s="95"/>
      <c r="P1081" s="93"/>
    </row>
    <row r="1082" spans="2:16" s="146" customFormat="1" ht="18" hidden="1" customHeight="1" x14ac:dyDescent="0.25">
      <c r="C1082" s="80"/>
      <c r="D1082" s="81"/>
      <c r="E1082" s="81"/>
      <c r="F1082" s="81"/>
      <c r="G1082" s="81"/>
      <c r="H1082" s="333"/>
      <c r="I1082" s="331"/>
      <c r="J1082" s="331"/>
      <c r="K1082" s="331"/>
      <c r="L1082" s="328"/>
      <c r="M1082" s="332"/>
      <c r="N1082" s="328"/>
      <c r="O1082" s="95"/>
      <c r="P1082" s="93"/>
    </row>
    <row r="1083" spans="2:16" s="146" customFormat="1" ht="18" hidden="1" customHeight="1" x14ac:dyDescent="0.25">
      <c r="C1083" s="80"/>
      <c r="D1083" s="180"/>
      <c r="E1083" s="180"/>
      <c r="F1083" s="372"/>
      <c r="G1083" s="180"/>
      <c r="H1083" s="323"/>
      <c r="I1083" s="331"/>
      <c r="J1083" s="331"/>
      <c r="K1083" s="331"/>
      <c r="L1083" s="328"/>
      <c r="M1083" s="332"/>
      <c r="N1083" s="328"/>
      <c r="O1083" s="95"/>
      <c r="P1083" s="93"/>
    </row>
    <row r="1084" spans="2:16" s="146" customFormat="1" ht="18" hidden="1" customHeight="1" x14ac:dyDescent="0.25">
      <c r="C1084" s="80"/>
      <c r="D1084" s="331"/>
      <c r="E1084" s="331"/>
      <c r="F1084" s="331"/>
      <c r="G1084" s="331"/>
      <c r="H1084" s="331"/>
      <c r="I1084" s="331"/>
      <c r="J1084" s="331"/>
      <c r="K1084" s="331"/>
      <c r="L1084" s="328"/>
      <c r="M1084" s="332"/>
      <c r="N1084" s="328"/>
      <c r="O1084" s="95"/>
      <c r="P1084" s="93"/>
    </row>
    <row r="1085" spans="2:16" s="146" customFormat="1" ht="9.9499999999999993" hidden="1" customHeight="1" thickBot="1" x14ac:dyDescent="0.3">
      <c r="C1085" s="80"/>
      <c r="D1085" s="81"/>
      <c r="E1085" s="81"/>
      <c r="F1085" s="81"/>
      <c r="G1085" s="81"/>
      <c r="H1085" s="81"/>
      <c r="I1085" s="81"/>
      <c r="J1085" s="81"/>
      <c r="K1085" s="81"/>
      <c r="L1085" s="81"/>
      <c r="M1085" s="81"/>
      <c r="N1085" s="81"/>
      <c r="O1085" s="96"/>
      <c r="P1085" s="97"/>
    </row>
    <row r="1086" spans="2:16" s="146" customFormat="1" ht="18" hidden="1" customHeight="1" x14ac:dyDescent="0.25">
      <c r="B1086" s="31" t="s">
        <v>34</v>
      </c>
      <c r="C1086" s="29"/>
      <c r="E1086" s="30"/>
      <c r="F1086" s="30"/>
      <c r="G1086" s="1041" t="s">
        <v>343</v>
      </c>
      <c r="H1086" s="1042"/>
      <c r="I1086" s="1042"/>
      <c r="J1086" s="1043"/>
      <c r="K1086" s="1085">
        <f>'[25]MEMÓRIA DE CÁLCULO'!$K$1156</f>
        <v>149.31</v>
      </c>
      <c r="L1086" s="1086"/>
      <c r="M1086" s="18"/>
      <c r="N1086" s="18"/>
      <c r="O1086" s="98"/>
      <c r="P1086" s="99"/>
    </row>
    <row r="1087" spans="2:16" s="146" customFormat="1" ht="18" hidden="1" customHeight="1" x14ac:dyDescent="0.25">
      <c r="B1087" s="31" t="str">
        <f>C1071</f>
        <v>3.11</v>
      </c>
      <c r="C1087" s="29"/>
      <c r="E1087" s="30"/>
      <c r="F1087" s="30"/>
      <c r="G1087" s="1082" t="s">
        <v>344</v>
      </c>
      <c r="H1087" s="1083"/>
      <c r="I1087" s="1083"/>
      <c r="J1087" s="1084"/>
      <c r="K1087" s="1075">
        <f>K1086+O1071</f>
        <v>149.31</v>
      </c>
      <c r="L1087" s="1076"/>
      <c r="M1087" s="18"/>
      <c r="N1087" s="18"/>
      <c r="O1087" s="98"/>
      <c r="P1087" s="99"/>
    </row>
    <row r="1088" spans="2:16" s="146" customFormat="1" ht="18" hidden="1" customHeight="1" x14ac:dyDescent="0.25">
      <c r="C1088" s="29"/>
      <c r="D1088" s="30"/>
      <c r="E1088" s="30"/>
      <c r="F1088" s="30"/>
      <c r="G1088" s="1082" t="s">
        <v>345</v>
      </c>
      <c r="H1088" s="1083"/>
      <c r="I1088" s="1083"/>
      <c r="J1088" s="1084"/>
      <c r="K1088" s="1075">
        <f>VLOOKUP(C1071,'[26]BM DETALHADO'!$B$13:$E$126,4,FALSE)</f>
        <v>149.31</v>
      </c>
      <c r="L1088" s="1076"/>
      <c r="M1088" s="18"/>
      <c r="N1088" s="18"/>
      <c r="O1088" s="98"/>
      <c r="P1088" s="99"/>
    </row>
    <row r="1089" spans="3:16" s="146" customFormat="1" ht="18" hidden="1" customHeight="1" thickBot="1" x14ac:dyDescent="0.3">
      <c r="C1089" s="29"/>
      <c r="D1089" s="30"/>
      <c r="E1089" s="30"/>
      <c r="F1089" s="30"/>
      <c r="G1089" s="1077" t="s">
        <v>346</v>
      </c>
      <c r="H1089" s="1078"/>
      <c r="I1089" s="1078"/>
      <c r="J1089" s="1079"/>
      <c r="K1089" s="1068">
        <f>K1088-K1087</f>
        <v>0</v>
      </c>
      <c r="L1089" s="1069"/>
      <c r="M1089" s="18"/>
      <c r="N1089" s="18"/>
      <c r="O1089" s="98"/>
      <c r="P1089" s="99"/>
    </row>
    <row r="1090" spans="3:16" s="146" customFormat="1" ht="9.9499999999999993" hidden="1" customHeight="1" thickBot="1" x14ac:dyDescent="0.3">
      <c r="C1090" s="21"/>
      <c r="D1090" s="22"/>
      <c r="E1090" s="22"/>
      <c r="F1090" s="22"/>
      <c r="G1090" s="27"/>
      <c r="H1090" s="27"/>
      <c r="I1090" s="27"/>
      <c r="J1090" s="27"/>
      <c r="K1090" s="28"/>
      <c r="L1090" s="28"/>
      <c r="M1090" s="22"/>
      <c r="N1090" s="22"/>
      <c r="O1090" s="100"/>
      <c r="P1090" s="101"/>
    </row>
    <row r="1091" spans="3:16" s="146" customFormat="1" ht="18" hidden="1" customHeight="1" x14ac:dyDescent="0.25">
      <c r="C1091" s="20" t="s">
        <v>34</v>
      </c>
      <c r="D1091" s="1052" t="s">
        <v>35</v>
      </c>
      <c r="E1091" s="1053"/>
      <c r="F1091" s="1053"/>
      <c r="G1091" s="1053"/>
      <c r="H1091" s="1053"/>
      <c r="I1091" s="1053"/>
      <c r="J1091" s="1053"/>
      <c r="K1091" s="1053"/>
      <c r="L1091" s="1053"/>
      <c r="M1091" s="1054"/>
      <c r="N1091" s="145" t="s">
        <v>0</v>
      </c>
      <c r="O1091" s="1107" t="s">
        <v>4</v>
      </c>
      <c r="P1091" s="1108"/>
    </row>
    <row r="1092" spans="3:16" s="146" customFormat="1" ht="69.95" hidden="1" customHeight="1" thickBot="1" x14ac:dyDescent="0.3">
      <c r="C1092" s="85" t="s">
        <v>194</v>
      </c>
      <c r="D1092" s="1070" t="str">
        <f>VLOOKUP(C1092,'BM DETALHADO'!$B$13:$D$126,2,FALSE)</f>
        <v>COBERTURA PARA PROTEÇÃO DE PEDESTRES SOBRE ESTRUTURA DE ANDAIME, INCLUSIVE MONTAGEM E DESMONTAGEM. AF_11/2017</v>
      </c>
      <c r="E1092" s="1071"/>
      <c r="F1092" s="1071"/>
      <c r="G1092" s="1071"/>
      <c r="H1092" s="1071"/>
      <c r="I1092" s="1071"/>
      <c r="J1092" s="1071"/>
      <c r="K1092" s="1071"/>
      <c r="L1092" s="1071"/>
      <c r="M1092" s="1072"/>
      <c r="N1092" s="19" t="str">
        <f>VLOOKUP(C1092,'BM DETALHADO'!$B$13:$D$126,3,FALSE)</f>
        <v>M2</v>
      </c>
      <c r="O1092" s="1109"/>
      <c r="P1092" s="1110"/>
    </row>
    <row r="1093" spans="3:16" s="146" customFormat="1" ht="9.9499999999999993" hidden="1" customHeight="1" x14ac:dyDescent="0.25">
      <c r="C1093" s="77"/>
      <c r="D1093" s="78"/>
      <c r="E1093" s="79"/>
      <c r="F1093" s="79"/>
      <c r="G1093" s="79"/>
      <c r="H1093" s="79"/>
      <c r="I1093" s="79"/>
      <c r="J1093" s="79"/>
      <c r="K1093" s="79"/>
      <c r="L1093" s="79"/>
      <c r="M1093" s="79"/>
      <c r="N1093" s="79"/>
      <c r="O1093" s="91"/>
      <c r="P1093" s="92"/>
    </row>
    <row r="1094" spans="3:16" s="146" customFormat="1" ht="18" hidden="1" customHeight="1" x14ac:dyDescent="0.25">
      <c r="C1094" s="336"/>
      <c r="D1094" s="81"/>
      <c r="E1094" s="81"/>
      <c r="F1094" s="81"/>
      <c r="G1094" s="81"/>
      <c r="H1094" s="330"/>
      <c r="I1094" s="344"/>
      <c r="J1094" s="339"/>
      <c r="K1094" s="344"/>
      <c r="L1094" s="339"/>
      <c r="M1094" s="169"/>
      <c r="N1094" s="169"/>
      <c r="O1094" s="343"/>
      <c r="P1094" s="93"/>
    </row>
    <row r="1095" spans="3:16" s="146" customFormat="1" ht="18" hidden="1" customHeight="1" x14ac:dyDescent="0.25">
      <c r="C1095" s="336"/>
      <c r="D1095" s="333"/>
      <c r="E1095" s="333"/>
      <c r="F1095" s="333"/>
      <c r="G1095" s="333"/>
      <c r="H1095" s="330"/>
      <c r="I1095" s="330"/>
      <c r="J1095" s="330"/>
      <c r="K1095" s="330"/>
      <c r="L1095" s="330"/>
      <c r="M1095" s="330"/>
      <c r="N1095" s="330"/>
      <c r="O1095" s="94"/>
      <c r="P1095" s="93"/>
    </row>
    <row r="1096" spans="3:16" s="146" customFormat="1" ht="18" hidden="1" customHeight="1" x14ac:dyDescent="0.25">
      <c r="C1096" s="202"/>
      <c r="D1096" s="81"/>
      <c r="E1096" s="81"/>
      <c r="F1096" s="81"/>
      <c r="G1096" s="81"/>
      <c r="H1096" s="81"/>
      <c r="I1096" s="167"/>
      <c r="J1096" s="168"/>
      <c r="K1096" s="167"/>
      <c r="L1096" s="168"/>
      <c r="M1096" s="169"/>
      <c r="N1096" s="169"/>
      <c r="O1096" s="169"/>
      <c r="P1096" s="93"/>
    </row>
    <row r="1097" spans="3:16" s="146" customFormat="1" ht="18" hidden="1" customHeight="1" x14ac:dyDescent="0.25">
      <c r="C1097" s="202"/>
      <c r="D1097" s="81"/>
      <c r="E1097" s="81"/>
      <c r="F1097" s="81"/>
      <c r="G1097" s="81"/>
      <c r="H1097" s="81"/>
      <c r="I1097" s="167"/>
      <c r="J1097" s="168"/>
      <c r="K1097" s="167"/>
      <c r="L1097" s="168"/>
      <c r="M1097" s="169"/>
      <c r="N1097" s="169"/>
      <c r="O1097" s="169"/>
      <c r="P1097" s="93"/>
    </row>
    <row r="1098" spans="3:16" s="146" customFormat="1" ht="18" hidden="1" customHeight="1" x14ac:dyDescent="0.25">
      <c r="C1098" s="202"/>
      <c r="D1098" s="81"/>
      <c r="E1098" s="81"/>
      <c r="F1098" s="81"/>
      <c r="G1098" s="81"/>
      <c r="H1098" s="81"/>
      <c r="I1098" s="167"/>
      <c r="J1098" s="168"/>
      <c r="K1098" s="167"/>
      <c r="L1098" s="168"/>
      <c r="M1098" s="169"/>
      <c r="N1098" s="169"/>
      <c r="O1098" s="169"/>
      <c r="P1098" s="93"/>
    </row>
    <row r="1099" spans="3:16" s="146" customFormat="1" ht="18" hidden="1" customHeight="1" x14ac:dyDescent="0.25">
      <c r="C1099" s="202"/>
      <c r="D1099" s="81"/>
      <c r="E1099" s="81"/>
      <c r="F1099" s="81"/>
      <c r="G1099" s="81"/>
      <c r="H1099" s="81"/>
      <c r="I1099" s="167"/>
      <c r="J1099" s="168"/>
      <c r="K1099" s="167"/>
      <c r="L1099" s="168"/>
      <c r="M1099" s="169"/>
      <c r="N1099" s="169"/>
      <c r="O1099" s="169"/>
      <c r="P1099" s="93"/>
    </row>
    <row r="1100" spans="3:16" s="146" customFormat="1" ht="18" hidden="1" customHeight="1" x14ac:dyDescent="0.25">
      <c r="C1100" s="202"/>
      <c r="D1100" s="81"/>
      <c r="E1100" s="81"/>
      <c r="F1100" s="81"/>
      <c r="G1100" s="81"/>
      <c r="H1100" s="81"/>
      <c r="I1100" s="167"/>
      <c r="J1100" s="168"/>
      <c r="K1100" s="167"/>
      <c r="L1100" s="168"/>
      <c r="M1100" s="169"/>
      <c r="N1100" s="169"/>
      <c r="O1100" s="169"/>
      <c r="P1100" s="93"/>
    </row>
    <row r="1101" spans="3:16" s="146" customFormat="1" ht="18" hidden="1" customHeight="1" x14ac:dyDescent="0.25">
      <c r="C1101" s="80"/>
      <c r="D1101" s="81"/>
      <c r="E1101" s="330"/>
      <c r="F1101" s="330"/>
      <c r="G1101" s="330"/>
      <c r="H1101" s="330"/>
      <c r="I1101" s="330"/>
      <c r="J1101" s="330"/>
      <c r="K1101" s="330"/>
      <c r="L1101" s="330"/>
      <c r="M1101" s="330"/>
      <c r="N1101" s="330"/>
      <c r="O1101" s="94"/>
      <c r="P1101" s="93"/>
    </row>
    <row r="1102" spans="3:16" s="146" customFormat="1" ht="18" hidden="1" customHeight="1" x14ac:dyDescent="0.25">
      <c r="C1102" s="80"/>
      <c r="D1102" s="180"/>
      <c r="E1102" s="180"/>
      <c r="F1102" s="180"/>
      <c r="G1102" s="180"/>
      <c r="H1102" s="180"/>
      <c r="I1102" s="180"/>
      <c r="J1102" s="180"/>
      <c r="K1102" s="180"/>
      <c r="L1102" s="328"/>
      <c r="M1102" s="181"/>
      <c r="N1102" s="182"/>
      <c r="O1102" s="95"/>
      <c r="P1102" s="93"/>
    </row>
    <row r="1103" spans="3:16" s="146" customFormat="1" ht="18" hidden="1" customHeight="1" x14ac:dyDescent="0.25">
      <c r="C1103" s="80"/>
      <c r="D1103" s="331"/>
      <c r="E1103" s="331"/>
      <c r="F1103" s="331"/>
      <c r="G1103" s="331"/>
      <c r="H1103" s="331"/>
      <c r="I1103" s="331"/>
      <c r="J1103" s="331"/>
      <c r="K1103" s="331"/>
      <c r="L1103" s="328"/>
      <c r="M1103" s="332"/>
      <c r="N1103" s="328"/>
      <c r="O1103" s="95"/>
      <c r="P1103" s="93"/>
    </row>
    <row r="1104" spans="3:16" s="146" customFormat="1" ht="18" hidden="1" customHeight="1" x14ac:dyDescent="0.25">
      <c r="C1104" s="80"/>
      <c r="D1104" s="331"/>
      <c r="E1104" s="331"/>
      <c r="F1104" s="331"/>
      <c r="G1104" s="331"/>
      <c r="H1104" s="331"/>
      <c r="I1104" s="331"/>
      <c r="J1104" s="331"/>
      <c r="K1104" s="331"/>
      <c r="L1104" s="328"/>
      <c r="M1104" s="332"/>
      <c r="N1104" s="328"/>
      <c r="O1104" s="95"/>
      <c r="P1104" s="93"/>
    </row>
    <row r="1105" spans="2:16" s="146" customFormat="1" ht="18" hidden="1" customHeight="1" x14ac:dyDescent="0.25">
      <c r="C1105" s="80"/>
      <c r="D1105" s="331"/>
      <c r="E1105" s="331"/>
      <c r="F1105" s="331"/>
      <c r="G1105" s="331"/>
      <c r="H1105" s="331"/>
      <c r="I1105" s="331"/>
      <c r="J1105" s="331"/>
      <c r="K1105" s="331"/>
      <c r="L1105" s="328"/>
      <c r="M1105" s="332"/>
      <c r="N1105" s="328"/>
      <c r="O1105" s="95"/>
      <c r="P1105" s="93"/>
    </row>
    <row r="1106" spans="2:16" s="146" customFormat="1" ht="9.9499999999999993" hidden="1" customHeight="1" thickBot="1" x14ac:dyDescent="0.3">
      <c r="C1106" s="80"/>
      <c r="D1106" s="81"/>
      <c r="E1106" s="81"/>
      <c r="F1106" s="81"/>
      <c r="G1106" s="81"/>
      <c r="H1106" s="81"/>
      <c r="I1106" s="81"/>
      <c r="J1106" s="81"/>
      <c r="K1106" s="81"/>
      <c r="L1106" s="81"/>
      <c r="M1106" s="81"/>
      <c r="N1106" s="81"/>
      <c r="O1106" s="96"/>
      <c r="P1106" s="97"/>
    </row>
    <row r="1107" spans="2:16" s="146" customFormat="1" ht="18" hidden="1" customHeight="1" x14ac:dyDescent="0.25">
      <c r="B1107" s="31" t="s">
        <v>34</v>
      </c>
      <c r="C1107" s="29"/>
      <c r="E1107" s="30"/>
      <c r="F1107" s="30"/>
      <c r="G1107" s="1041" t="s">
        <v>343</v>
      </c>
      <c r="H1107" s="1042"/>
      <c r="I1107" s="1042"/>
      <c r="J1107" s="1043"/>
      <c r="K1107" s="1085">
        <f>'[25]MEMÓRIA DE CÁLCULO'!$K$1177</f>
        <v>0</v>
      </c>
      <c r="L1107" s="1086"/>
      <c r="M1107" s="18"/>
      <c r="N1107" s="18"/>
      <c r="O1107" s="98"/>
      <c r="P1107" s="99"/>
    </row>
    <row r="1108" spans="2:16" s="146" customFormat="1" ht="18" hidden="1" customHeight="1" x14ac:dyDescent="0.25">
      <c r="B1108" s="31" t="str">
        <f>C1092</f>
        <v>3.12</v>
      </c>
      <c r="C1108" s="29"/>
      <c r="E1108" s="30"/>
      <c r="F1108" s="30"/>
      <c r="G1108" s="1082" t="s">
        <v>344</v>
      </c>
      <c r="H1108" s="1083"/>
      <c r="I1108" s="1083"/>
      <c r="J1108" s="1084"/>
      <c r="K1108" s="1075">
        <f>K1107+O1092</f>
        <v>0</v>
      </c>
      <c r="L1108" s="1076"/>
      <c r="M1108" s="18"/>
      <c r="N1108" s="18"/>
      <c r="O1108" s="98"/>
      <c r="P1108" s="99"/>
    </row>
    <row r="1109" spans="2:16" s="146" customFormat="1" ht="18" hidden="1" customHeight="1" x14ac:dyDescent="0.25">
      <c r="C1109" s="29"/>
      <c r="D1109" s="30"/>
      <c r="E1109" s="30"/>
      <c r="F1109" s="30"/>
      <c r="G1109" s="1082" t="s">
        <v>345</v>
      </c>
      <c r="H1109" s="1083"/>
      <c r="I1109" s="1083"/>
      <c r="J1109" s="1084"/>
      <c r="K1109" s="1075">
        <f>'BM DETALHADO'!E78</f>
        <v>82.5</v>
      </c>
      <c r="L1109" s="1076"/>
      <c r="M1109" s="18"/>
      <c r="N1109" s="18"/>
      <c r="O1109" s="98"/>
      <c r="P1109" s="99"/>
    </row>
    <row r="1110" spans="2:16" s="146" customFormat="1" ht="18" hidden="1" customHeight="1" thickBot="1" x14ac:dyDescent="0.3">
      <c r="C1110" s="29"/>
      <c r="D1110" s="30"/>
      <c r="E1110" s="30"/>
      <c r="F1110" s="30"/>
      <c r="G1110" s="1077" t="s">
        <v>346</v>
      </c>
      <c r="H1110" s="1078"/>
      <c r="I1110" s="1078"/>
      <c r="J1110" s="1079"/>
      <c r="K1110" s="1068">
        <f>K1109-K1108</f>
        <v>82.5</v>
      </c>
      <c r="L1110" s="1069"/>
      <c r="M1110" s="18"/>
      <c r="N1110" s="18"/>
      <c r="O1110" s="98"/>
      <c r="P1110" s="99"/>
    </row>
    <row r="1111" spans="2:16" s="146" customFormat="1" ht="9.9499999999999993" hidden="1" customHeight="1" thickBot="1" x14ac:dyDescent="0.3">
      <c r="C1111" s="21"/>
      <c r="D1111" s="22"/>
      <c r="E1111" s="22"/>
      <c r="F1111" s="22"/>
      <c r="G1111" s="27"/>
      <c r="H1111" s="27"/>
      <c r="I1111" s="27"/>
      <c r="J1111" s="27"/>
      <c r="K1111" s="28"/>
      <c r="L1111" s="28"/>
      <c r="M1111" s="22"/>
      <c r="N1111" s="22"/>
      <c r="O1111" s="100"/>
      <c r="P1111" s="101"/>
    </row>
    <row r="1112" spans="2:16" s="146" customFormat="1" ht="18" hidden="1" customHeight="1" x14ac:dyDescent="0.25">
      <c r="C1112" s="20" t="s">
        <v>34</v>
      </c>
      <c r="D1112" s="1052" t="s">
        <v>35</v>
      </c>
      <c r="E1112" s="1053"/>
      <c r="F1112" s="1053"/>
      <c r="G1112" s="1053"/>
      <c r="H1112" s="1053"/>
      <c r="I1112" s="1053"/>
      <c r="J1112" s="1053"/>
      <c r="K1112" s="1053"/>
      <c r="L1112" s="1053"/>
      <c r="M1112" s="1054"/>
      <c r="N1112" s="145" t="s">
        <v>0</v>
      </c>
      <c r="O1112" s="1107" t="s">
        <v>4</v>
      </c>
      <c r="P1112" s="1108"/>
    </row>
    <row r="1113" spans="2:16" s="146" customFormat="1" ht="69.95" hidden="1" customHeight="1" thickBot="1" x14ac:dyDescent="0.3">
      <c r="C1113" s="85" t="s">
        <v>196</v>
      </c>
      <c r="D1113" s="1070" t="str">
        <f>VLOOKUP(C1113,'BM DETALHADO'!$B$13:$D$126,2,FALSE)</f>
        <v>TELA DE PROTEÇÃO DE FACHADA INSTALADA EM ANDAIME FACHADEIRO</v>
      </c>
      <c r="E1113" s="1071"/>
      <c r="F1113" s="1071"/>
      <c r="G1113" s="1071"/>
      <c r="H1113" s="1071"/>
      <c r="I1113" s="1071"/>
      <c r="J1113" s="1071"/>
      <c r="K1113" s="1071"/>
      <c r="L1113" s="1071"/>
      <c r="M1113" s="1072"/>
      <c r="N1113" s="19" t="str">
        <f>VLOOKUP(C1113,'BM DETALHADO'!$B$13:$D$126,3,FALSE)</f>
        <v>M2</v>
      </c>
      <c r="O1113" s="1109"/>
      <c r="P1113" s="1110"/>
    </row>
    <row r="1114" spans="2:16" s="146" customFormat="1" ht="9.9499999999999993" hidden="1" customHeight="1" x14ac:dyDescent="0.25">
      <c r="C1114" s="77"/>
      <c r="D1114" s="78"/>
      <c r="E1114" s="79"/>
      <c r="F1114" s="79"/>
      <c r="G1114" s="79"/>
      <c r="H1114" s="79"/>
      <c r="I1114" s="79"/>
      <c r="J1114" s="79"/>
      <c r="K1114" s="79"/>
      <c r="L1114" s="79"/>
      <c r="M1114" s="79"/>
      <c r="N1114" s="79"/>
      <c r="O1114" s="91"/>
      <c r="P1114" s="92"/>
    </row>
    <row r="1115" spans="2:16" s="146" customFormat="1" ht="18" hidden="1" customHeight="1" x14ac:dyDescent="0.25">
      <c r="C1115" s="336"/>
      <c r="D1115" s="1037"/>
      <c r="E1115" s="1037"/>
      <c r="F1115" s="1037"/>
      <c r="G1115" s="1037"/>
      <c r="H1115" s="1037"/>
      <c r="I1115" s="613"/>
      <c r="J1115" s="609"/>
      <c r="K1115" s="613"/>
      <c r="L1115" s="609"/>
      <c r="M1115" s="212"/>
      <c r="N1115" s="212"/>
      <c r="O1115" s="309"/>
      <c r="P1115" s="93"/>
    </row>
    <row r="1116" spans="2:16" s="146" customFormat="1" ht="18" hidden="1" customHeight="1" x14ac:dyDescent="0.25">
      <c r="C1116" s="336"/>
      <c r="D1116" s="1040"/>
      <c r="E1116" s="1040"/>
      <c r="F1116" s="1040"/>
      <c r="G1116" s="1040"/>
      <c r="H1116" s="1040"/>
      <c r="I1116" s="354"/>
      <c r="J1116" s="354"/>
      <c r="K1116" s="354"/>
      <c r="L1116" s="599"/>
      <c r="M1116" s="599"/>
      <c r="N1116" s="480"/>
      <c r="O1116" s="214"/>
      <c r="P1116" s="93"/>
    </row>
    <row r="1117" spans="2:16" s="146" customFormat="1" ht="18" hidden="1" customHeight="1" x14ac:dyDescent="0.25">
      <c r="C1117" s="202"/>
      <c r="D1117" s="1040"/>
      <c r="E1117" s="1040"/>
      <c r="F1117" s="1040"/>
      <c r="G1117" s="1040"/>
      <c r="H1117" s="1040"/>
      <c r="I1117" s="610"/>
      <c r="J1117" s="610"/>
      <c r="K1117" s="354"/>
      <c r="L1117" s="503"/>
      <c r="M1117" s="212"/>
      <c r="N1117" s="212"/>
      <c r="O1117" s="212"/>
      <c r="P1117" s="93"/>
    </row>
    <row r="1118" spans="2:16" s="146" customFormat="1" ht="18" hidden="1" customHeight="1" x14ac:dyDescent="0.25">
      <c r="C1118" s="202"/>
      <c r="D1118" s="1037"/>
      <c r="E1118" s="1037"/>
      <c r="F1118" s="1037"/>
      <c r="G1118" s="1037"/>
      <c r="H1118" s="1037"/>
      <c r="I1118" s="1037"/>
      <c r="J1118" s="1037"/>
      <c r="K1118" s="298"/>
      <c r="L1118" s="609"/>
      <c r="M1118" s="212"/>
      <c r="N1118" s="212"/>
      <c r="O1118" s="212"/>
      <c r="P1118" s="93"/>
    </row>
    <row r="1119" spans="2:16" s="146" customFormat="1" ht="9.9499999999999993" hidden="1" customHeight="1" x14ac:dyDescent="0.25">
      <c r="C1119" s="80"/>
      <c r="D1119" s="81"/>
      <c r="E1119" s="81"/>
      <c r="F1119" s="81"/>
      <c r="G1119" s="81"/>
      <c r="H1119" s="81"/>
      <c r="I1119" s="81"/>
      <c r="J1119" s="81"/>
      <c r="K1119" s="81"/>
      <c r="L1119" s="81"/>
      <c r="M1119" s="81"/>
      <c r="N1119" s="81"/>
      <c r="O1119" s="96"/>
      <c r="P1119" s="97"/>
    </row>
    <row r="1120" spans="2:16" s="577" customFormat="1" ht="18" hidden="1" customHeight="1" x14ac:dyDescent="0.25">
      <c r="C1120" s="80"/>
      <c r="D1120" s="81"/>
      <c r="E1120" s="81"/>
      <c r="F1120" s="81"/>
      <c r="G1120" s="81"/>
      <c r="H1120" s="81"/>
      <c r="I1120" s="81"/>
      <c r="J1120" s="81"/>
      <c r="K1120" s="81"/>
      <c r="L1120" s="81"/>
      <c r="M1120" s="81"/>
      <c r="N1120" s="81"/>
      <c r="O1120" s="96"/>
      <c r="P1120" s="97"/>
    </row>
    <row r="1121" spans="2:24" s="577" customFormat="1" ht="18" hidden="1" customHeight="1" x14ac:dyDescent="0.25">
      <c r="C1121" s="80"/>
      <c r="D1121" s="81"/>
      <c r="E1121" s="81"/>
      <c r="F1121" s="81"/>
      <c r="G1121" s="81"/>
      <c r="H1121" s="81"/>
      <c r="I1121" s="81"/>
      <c r="J1121" s="81"/>
      <c r="K1121" s="81"/>
      <c r="L1121" s="81"/>
      <c r="M1121" s="81"/>
      <c r="N1121" s="81"/>
      <c r="O1121" s="96"/>
      <c r="P1121" s="97"/>
    </row>
    <row r="1122" spans="2:24" s="577" customFormat="1" ht="18" hidden="1" customHeight="1" x14ac:dyDescent="0.25">
      <c r="C1122" s="80"/>
      <c r="D1122" s="81"/>
      <c r="E1122" s="81"/>
      <c r="F1122" s="81"/>
      <c r="G1122" s="81"/>
      <c r="H1122" s="81"/>
      <c r="I1122" s="81"/>
      <c r="J1122" s="81"/>
      <c r="K1122" s="81"/>
      <c r="L1122" s="81"/>
      <c r="M1122" s="81"/>
      <c r="N1122" s="81"/>
      <c r="O1122" s="96"/>
      <c r="P1122" s="97"/>
    </row>
    <row r="1123" spans="2:24" s="577" customFormat="1" ht="18" hidden="1" customHeight="1" x14ac:dyDescent="0.25">
      <c r="C1123" s="80"/>
      <c r="D1123" s="81"/>
      <c r="E1123" s="81"/>
      <c r="F1123" s="81"/>
      <c r="G1123" s="81"/>
      <c r="H1123" s="81"/>
      <c r="I1123" s="81"/>
      <c r="J1123" s="81"/>
      <c r="K1123" s="81"/>
      <c r="L1123" s="81"/>
      <c r="M1123" s="81"/>
      <c r="N1123" s="81"/>
      <c r="O1123" s="96"/>
      <c r="P1123" s="97"/>
    </row>
    <row r="1124" spans="2:24" s="577" customFormat="1" ht="18" hidden="1" customHeight="1" x14ac:dyDescent="0.25">
      <c r="C1124" s="80"/>
      <c r="D1124" s="81"/>
      <c r="E1124" s="81"/>
      <c r="F1124" s="81"/>
      <c r="G1124" s="81"/>
      <c r="H1124" s="81"/>
      <c r="I1124" s="81"/>
      <c r="J1124" s="81"/>
      <c r="K1124" s="81"/>
      <c r="L1124" s="81"/>
      <c r="M1124" s="81"/>
      <c r="N1124" s="81"/>
      <c r="O1124" s="96"/>
      <c r="P1124" s="97"/>
    </row>
    <row r="1125" spans="2:24" s="577" customFormat="1" ht="18" hidden="1" customHeight="1" x14ac:dyDescent="0.25">
      <c r="C1125" s="80"/>
      <c r="D1125" s="81"/>
      <c r="E1125" s="81"/>
      <c r="F1125" s="81"/>
      <c r="G1125" s="81"/>
      <c r="H1125" s="81"/>
      <c r="I1125" s="81"/>
      <c r="J1125" s="81"/>
      <c r="K1125" s="81"/>
      <c r="L1125" s="81"/>
      <c r="M1125" s="81"/>
      <c r="N1125" s="81"/>
      <c r="O1125" s="96"/>
      <c r="P1125" s="97"/>
    </row>
    <row r="1126" spans="2:24" s="577" customFormat="1" ht="18" hidden="1" customHeight="1" thickBot="1" x14ac:dyDescent="0.3">
      <c r="C1126" s="80"/>
      <c r="D1126" s="81"/>
      <c r="E1126" s="81"/>
      <c r="F1126" s="81"/>
      <c r="G1126" s="81"/>
      <c r="H1126" s="81"/>
      <c r="I1126" s="81"/>
      <c r="J1126" s="81"/>
      <c r="K1126" s="81"/>
      <c r="L1126" s="81"/>
      <c r="M1126" s="81"/>
      <c r="N1126" s="81"/>
      <c r="O1126" s="96"/>
      <c r="P1126" s="97"/>
    </row>
    <row r="1127" spans="2:24" s="146" customFormat="1" ht="18" hidden="1" customHeight="1" x14ac:dyDescent="0.25">
      <c r="B1127" s="31" t="s">
        <v>34</v>
      </c>
      <c r="C1127" s="29"/>
      <c r="E1127" s="30"/>
      <c r="F1127" s="30"/>
      <c r="G1127" s="1041" t="s">
        <v>343</v>
      </c>
      <c r="H1127" s="1042"/>
      <c r="I1127" s="1042"/>
      <c r="J1127" s="1043"/>
      <c r="K1127" s="1085">
        <f>'[25]MEMÓRIA DE CÁLCULO'!$K$1197</f>
        <v>376</v>
      </c>
      <c r="L1127" s="1086"/>
      <c r="M1127" s="18"/>
      <c r="N1127" s="18"/>
      <c r="O1127" s="98"/>
      <c r="P1127" s="99"/>
    </row>
    <row r="1128" spans="2:24" s="146" customFormat="1" ht="18" hidden="1" customHeight="1" x14ac:dyDescent="0.25">
      <c r="B1128" s="31" t="str">
        <f>C1113</f>
        <v>3.13</v>
      </c>
      <c r="C1128" s="29"/>
      <c r="E1128" s="30"/>
      <c r="F1128" s="30"/>
      <c r="G1128" s="1082" t="s">
        <v>344</v>
      </c>
      <c r="H1128" s="1083"/>
      <c r="I1128" s="1083"/>
      <c r="J1128" s="1084"/>
      <c r="K1128" s="1075">
        <f>K1127+O1113</f>
        <v>376</v>
      </c>
      <c r="L1128" s="1076"/>
      <c r="M1128" s="18"/>
      <c r="N1128" s="18"/>
      <c r="O1128" s="98"/>
      <c r="P1128" s="99"/>
    </row>
    <row r="1129" spans="2:24" s="146" customFormat="1" ht="18" hidden="1" customHeight="1" x14ac:dyDescent="0.25">
      <c r="C1129" s="29"/>
      <c r="D1129" s="30"/>
      <c r="E1129" s="30"/>
      <c r="F1129" s="30"/>
      <c r="G1129" s="1082" t="s">
        <v>345</v>
      </c>
      <c r="H1129" s="1083"/>
      <c r="I1129" s="1083"/>
      <c r="J1129" s="1084"/>
      <c r="K1129" s="1075">
        <f>'BM DETALHADO'!E79</f>
        <v>1147</v>
      </c>
      <c r="L1129" s="1076"/>
      <c r="M1129" s="18"/>
      <c r="N1129" s="18"/>
      <c r="O1129" s="98"/>
      <c r="P1129" s="99"/>
    </row>
    <row r="1130" spans="2:24" s="146" customFormat="1" ht="18" hidden="1" customHeight="1" thickBot="1" x14ac:dyDescent="0.3">
      <c r="C1130" s="29"/>
      <c r="D1130" s="30"/>
      <c r="E1130" s="30"/>
      <c r="F1130" s="30"/>
      <c r="G1130" s="1077" t="s">
        <v>346</v>
      </c>
      <c r="H1130" s="1078"/>
      <c r="I1130" s="1078"/>
      <c r="J1130" s="1079"/>
      <c r="K1130" s="1068">
        <f>K1129-K1128</f>
        <v>771</v>
      </c>
      <c r="L1130" s="1069"/>
      <c r="M1130" s="18"/>
      <c r="N1130" s="18"/>
      <c r="O1130" s="98"/>
      <c r="P1130" s="99"/>
    </row>
    <row r="1131" spans="2:24" s="146" customFormat="1" ht="9.9499999999999993" hidden="1" customHeight="1" thickBot="1" x14ac:dyDescent="0.3">
      <c r="C1131" s="21"/>
      <c r="D1131" s="22"/>
      <c r="E1131" s="22"/>
      <c r="F1131" s="22"/>
      <c r="G1131" s="360"/>
      <c r="H1131" s="360"/>
      <c r="I1131" s="360"/>
      <c r="J1131" s="360"/>
      <c r="K1131" s="361"/>
      <c r="L1131" s="361"/>
      <c r="M1131" s="22"/>
      <c r="N1131" s="22"/>
      <c r="O1131" s="100"/>
      <c r="P1131" s="101"/>
    </row>
    <row r="1132" spans="2:24" s="146" customFormat="1" ht="18" customHeight="1" x14ac:dyDescent="0.25">
      <c r="C1132" s="20" t="s">
        <v>34</v>
      </c>
      <c r="D1132" s="1052" t="s">
        <v>35</v>
      </c>
      <c r="E1132" s="1053"/>
      <c r="F1132" s="1053"/>
      <c r="G1132" s="1053"/>
      <c r="H1132" s="1053"/>
      <c r="I1132" s="1053"/>
      <c r="J1132" s="1053"/>
      <c r="K1132" s="1053"/>
      <c r="L1132" s="1053"/>
      <c r="M1132" s="1054"/>
      <c r="N1132" s="145" t="s">
        <v>0</v>
      </c>
      <c r="O1132" s="1107" t="s">
        <v>4</v>
      </c>
      <c r="P1132" s="1108"/>
    </row>
    <row r="1133" spans="2:24" s="146" customFormat="1" ht="69.95" customHeight="1" thickBot="1" x14ac:dyDescent="0.3">
      <c r="C1133" s="85" t="s">
        <v>202</v>
      </c>
      <c r="D1133" s="1070" t="str">
        <f>VLOOKUP(C1133,'BM DETALHADO'!$B$13:$D$126,2,FALSE)</f>
        <v>ESCAVACAO MANUAL H &lt;= 1.5M</v>
      </c>
      <c r="E1133" s="1071"/>
      <c r="F1133" s="1071"/>
      <c r="G1133" s="1071"/>
      <c r="H1133" s="1071"/>
      <c r="I1133" s="1071"/>
      <c r="J1133" s="1071"/>
      <c r="K1133" s="1071"/>
      <c r="L1133" s="1071"/>
      <c r="M1133" s="1072"/>
      <c r="N1133" s="19" t="str">
        <f>VLOOKUP(C1133,'BM DETALHADO'!$B$13:$D$126,3,FALSE)</f>
        <v>M³</v>
      </c>
      <c r="O1133" s="1109"/>
      <c r="P1133" s="1110"/>
      <c r="R1133" s="611"/>
      <c r="S1133" s="611"/>
      <c r="T1133" s="611"/>
      <c r="U1133" s="611"/>
      <c r="V1133" s="611"/>
      <c r="W1133" s="611"/>
      <c r="X1133" s="611"/>
    </row>
    <row r="1134" spans="2:24" s="146" customFormat="1" ht="9.9499999999999993" customHeight="1" x14ac:dyDescent="0.25">
      <c r="C1134" s="77"/>
      <c r="D1134" s="78"/>
      <c r="E1134" s="79"/>
      <c r="F1134" s="79"/>
      <c r="G1134" s="79"/>
      <c r="H1134" s="79"/>
      <c r="I1134" s="79"/>
      <c r="J1134" s="79"/>
      <c r="K1134" s="79"/>
      <c r="L1134" s="79"/>
      <c r="M1134" s="79"/>
      <c r="N1134" s="79"/>
      <c r="O1134" s="91"/>
      <c r="P1134" s="92"/>
      <c r="R1134" s="611"/>
      <c r="S1134" s="611"/>
      <c r="T1134" s="611"/>
      <c r="U1134" s="611"/>
      <c r="V1134" s="611"/>
      <c r="W1134" s="611"/>
      <c r="X1134" s="611"/>
    </row>
    <row r="1135" spans="2:24" s="146" customFormat="1" ht="18" customHeight="1" x14ac:dyDescent="0.25">
      <c r="C1135" s="237"/>
      <c r="D1135" s="810" t="s">
        <v>349</v>
      </c>
      <c r="E1135" s="675" t="s">
        <v>327</v>
      </c>
      <c r="F1135" s="675" t="s">
        <v>339</v>
      </c>
      <c r="G1135" s="675" t="s">
        <v>328</v>
      </c>
      <c r="H1135" s="424" t="s">
        <v>329</v>
      </c>
      <c r="I1135" s="298"/>
      <c r="J1135" s="298"/>
      <c r="K1135" s="688"/>
      <c r="L1135" s="733"/>
      <c r="M1135" s="1066" t="s">
        <v>456</v>
      </c>
      <c r="N1135" s="1066"/>
      <c r="O1135" s="1066"/>
      <c r="P1135" s="1067"/>
      <c r="R1135" s="611"/>
      <c r="S1135" s="695"/>
      <c r="T1135" s="695"/>
      <c r="U1135" s="695"/>
      <c r="V1135" s="695"/>
      <c r="W1135" s="611"/>
      <c r="X1135" s="611"/>
    </row>
    <row r="1136" spans="2:24" s="146" customFormat="1" ht="18" customHeight="1" x14ac:dyDescent="0.25">
      <c r="C1136" s="237"/>
      <c r="D1136" s="806" t="s">
        <v>441</v>
      </c>
      <c r="E1136" s="752">
        <v>1.1000000000000001</v>
      </c>
      <c r="F1136" s="752">
        <v>1.1000000000000001</v>
      </c>
      <c r="G1136" s="752">
        <v>2.5</v>
      </c>
      <c r="H1136" s="761">
        <f>E1136*F1136*G1136</f>
        <v>3.0250000000000004</v>
      </c>
      <c r="I1136" s="215"/>
      <c r="J1136" s="215"/>
      <c r="K1136" s="679"/>
      <c r="L1136" s="733"/>
      <c r="M1136" s="1066"/>
      <c r="N1136" s="1066"/>
      <c r="O1136" s="1066"/>
      <c r="P1136" s="1067"/>
      <c r="R1136" s="611"/>
      <c r="S1136" s="501"/>
      <c r="T1136" s="696"/>
      <c r="U1136" s="696"/>
      <c r="V1136" s="696"/>
      <c r="W1136" s="276"/>
      <c r="X1136" s="611"/>
    </row>
    <row r="1137" spans="2:24" s="146" customFormat="1" ht="18" customHeight="1" x14ac:dyDescent="0.25">
      <c r="C1137" s="237"/>
      <c r="D1137" s="807" t="s">
        <v>444</v>
      </c>
      <c r="E1137" s="753">
        <v>1.5</v>
      </c>
      <c r="F1137" s="753">
        <v>1.5</v>
      </c>
      <c r="G1137" s="753">
        <v>1.8</v>
      </c>
      <c r="H1137" s="762">
        <f t="shared" ref="H1137:H1140" si="1">E1137*F1137*G1137</f>
        <v>4.05</v>
      </c>
      <c r="I1137" s="215"/>
      <c r="J1137" s="215"/>
      <c r="K1137" s="345"/>
      <c r="L1137" s="733"/>
      <c r="M1137" s="1066"/>
      <c r="N1137" s="1066"/>
      <c r="O1137" s="1066"/>
      <c r="P1137" s="1067"/>
      <c r="R1137" s="611"/>
      <c r="S1137" s="501"/>
      <c r="T1137" s="696"/>
      <c r="U1137" s="696"/>
      <c r="V1137" s="696"/>
      <c r="W1137" s="502"/>
      <c r="X1137" s="611"/>
    </row>
    <row r="1138" spans="2:24" s="146" customFormat="1" ht="18" customHeight="1" x14ac:dyDescent="0.25">
      <c r="C1138" s="237"/>
      <c r="D1138" s="807" t="s">
        <v>442</v>
      </c>
      <c r="E1138" s="753">
        <v>1.2</v>
      </c>
      <c r="F1138" s="753">
        <v>1.2</v>
      </c>
      <c r="G1138" s="753">
        <v>2.6</v>
      </c>
      <c r="H1138" s="762">
        <f t="shared" si="1"/>
        <v>3.7439999999999998</v>
      </c>
      <c r="I1138" s="215"/>
      <c r="J1138" s="215"/>
      <c r="K1138" s="345"/>
      <c r="L1138" s="733"/>
      <c r="M1138" s="1066"/>
      <c r="N1138" s="1066"/>
      <c r="O1138" s="1066"/>
      <c r="P1138" s="1067"/>
      <c r="R1138" s="611"/>
      <c r="S1138" s="501"/>
      <c r="T1138" s="696"/>
      <c r="U1138" s="696"/>
      <c r="V1138" s="696"/>
      <c r="W1138" s="502"/>
      <c r="X1138" s="611"/>
    </row>
    <row r="1139" spans="2:24" s="146" customFormat="1" ht="18" customHeight="1" x14ac:dyDescent="0.25">
      <c r="C1139" s="237"/>
      <c r="D1139" s="807" t="s">
        <v>443</v>
      </c>
      <c r="E1139" s="753">
        <v>1.2</v>
      </c>
      <c r="F1139" s="753">
        <v>1.3</v>
      </c>
      <c r="G1139" s="753">
        <v>2.8</v>
      </c>
      <c r="H1139" s="762">
        <f t="shared" si="1"/>
        <v>4.3679999999999994</v>
      </c>
      <c r="I1139" s="215"/>
      <c r="J1139" s="215"/>
      <c r="K1139" s="345"/>
      <c r="L1139" s="733"/>
      <c r="M1139" s="1066"/>
      <c r="N1139" s="1066"/>
      <c r="O1139" s="1066"/>
      <c r="P1139" s="1067"/>
      <c r="R1139" s="611"/>
      <c r="S1139" s="501"/>
      <c r="T1139" s="696"/>
      <c r="U1139" s="624"/>
      <c r="V1139" s="696"/>
      <c r="W1139" s="502"/>
      <c r="X1139" s="611"/>
    </row>
    <row r="1140" spans="2:24" s="146" customFormat="1" ht="18" customHeight="1" x14ac:dyDescent="0.25">
      <c r="C1140" s="237"/>
      <c r="D1140" s="1035" t="s">
        <v>445</v>
      </c>
      <c r="E1140" s="1046">
        <v>1</v>
      </c>
      <c r="F1140" s="1046">
        <v>1</v>
      </c>
      <c r="G1140" s="1046">
        <v>2.5499999999999998</v>
      </c>
      <c r="H1140" s="1048">
        <f t="shared" si="1"/>
        <v>2.5499999999999998</v>
      </c>
      <c r="I1140" s="215"/>
      <c r="J1140" s="215"/>
      <c r="K1140" s="345"/>
      <c r="L1140" s="733"/>
      <c r="M1140" s="1066"/>
      <c r="N1140" s="1066"/>
      <c r="O1140" s="1066"/>
      <c r="P1140" s="1067"/>
      <c r="R1140" s="611"/>
      <c r="S1140" s="501"/>
      <c r="T1140" s="696"/>
      <c r="U1140" s="624"/>
      <c r="V1140" s="696"/>
      <c r="W1140" s="502"/>
      <c r="X1140" s="611"/>
    </row>
    <row r="1141" spans="2:24" s="611" customFormat="1" ht="18" customHeight="1" x14ac:dyDescent="0.25">
      <c r="C1141" s="237"/>
      <c r="D1141" s="1036"/>
      <c r="E1141" s="1047"/>
      <c r="F1141" s="1047"/>
      <c r="G1141" s="1047"/>
      <c r="H1141" s="1049"/>
      <c r="I1141" s="215"/>
      <c r="J1141" s="215"/>
      <c r="K1141" s="345"/>
      <c r="L1141" s="733"/>
      <c r="M1141" s="1066"/>
      <c r="N1141" s="1066"/>
      <c r="O1141" s="1066"/>
      <c r="P1141" s="1067"/>
      <c r="S1141" s="501"/>
      <c r="T1141" s="696"/>
      <c r="U1141" s="624"/>
      <c r="V1141" s="696"/>
      <c r="W1141" s="502"/>
    </row>
    <row r="1142" spans="2:24" s="146" customFormat="1" ht="18" customHeight="1" x14ac:dyDescent="0.25">
      <c r="C1142" s="237"/>
      <c r="D1142" s="1031" t="s">
        <v>19</v>
      </c>
      <c r="E1142" s="1031"/>
      <c r="F1142" s="1031"/>
      <c r="G1142" s="1031"/>
      <c r="H1142" s="674">
        <f>SUM(H1136:H1140)</f>
        <v>17.736999999999998</v>
      </c>
      <c r="I1142" s="215" t="s">
        <v>204</v>
      </c>
      <c r="J1142" s="215"/>
      <c r="K1142" s="345"/>
      <c r="L1142" s="733"/>
      <c r="M1142" s="1066"/>
      <c r="N1142" s="1066"/>
      <c r="O1142" s="1066"/>
      <c r="P1142" s="1067"/>
      <c r="R1142" s="611"/>
      <c r="S1142" s="501"/>
      <c r="T1142" s="696"/>
      <c r="U1142" s="696"/>
      <c r="V1142" s="696"/>
      <c r="W1142" s="502"/>
      <c r="X1142" s="611"/>
    </row>
    <row r="1143" spans="2:24" s="611" customFormat="1" ht="18" customHeight="1" x14ac:dyDescent="0.25">
      <c r="C1143" s="237"/>
      <c r="D1143" s="219"/>
      <c r="E1143" s="219"/>
      <c r="F1143" s="219"/>
      <c r="G1143" s="219"/>
      <c r="H1143" s="219"/>
      <c r="I1143" s="298"/>
      <c r="J1143" s="298"/>
      <c r="K1143" s="345"/>
      <c r="L1143" s="733"/>
      <c r="M1143" s="1066"/>
      <c r="N1143" s="1066"/>
      <c r="O1143" s="1066"/>
      <c r="P1143" s="1067"/>
      <c r="S1143" s="663"/>
      <c r="T1143" s="663"/>
      <c r="U1143" s="663"/>
      <c r="V1143" s="299"/>
      <c r="W1143" s="502"/>
    </row>
    <row r="1144" spans="2:24" s="611" customFormat="1" ht="18" customHeight="1" x14ac:dyDescent="0.25">
      <c r="C1144" s="237"/>
      <c r="D1144" s="219"/>
      <c r="E1144" s="219"/>
      <c r="F1144" s="219"/>
      <c r="G1144" s="219"/>
      <c r="H1144" s="219"/>
      <c r="I1144" s="298"/>
      <c r="J1144" s="298"/>
      <c r="K1144" s="345"/>
      <c r="L1144" s="733"/>
      <c r="M1144" s="1066"/>
      <c r="N1144" s="1066"/>
      <c r="O1144" s="1066"/>
      <c r="P1144" s="1067"/>
      <c r="S1144" s="663"/>
      <c r="T1144" s="663"/>
      <c r="U1144" s="663"/>
      <c r="V1144" s="299"/>
      <c r="W1144" s="502"/>
    </row>
    <row r="1145" spans="2:24" s="146" customFormat="1" ht="18" customHeight="1" x14ac:dyDescent="0.25">
      <c r="C1145" s="300"/>
      <c r="D1145" s="534"/>
      <c r="E1145" s="534"/>
      <c r="F1145" s="534"/>
      <c r="G1145" s="534"/>
      <c r="H1145" s="534"/>
      <c r="I1145" s="534"/>
      <c r="J1145" s="534"/>
      <c r="K1145" s="534"/>
      <c r="L1145" s="534"/>
      <c r="M1145" s="838"/>
      <c r="N1145" s="838"/>
      <c r="O1145" s="838"/>
      <c r="P1145" s="839"/>
      <c r="R1145" s="611"/>
      <c r="S1145" s="611"/>
      <c r="T1145" s="611"/>
      <c r="U1145" s="611"/>
      <c r="V1145" s="611"/>
      <c r="W1145" s="611"/>
      <c r="X1145" s="611"/>
    </row>
    <row r="1146" spans="2:24" s="146" customFormat="1" ht="18" customHeight="1" x14ac:dyDescent="0.25">
      <c r="C1146" s="80"/>
      <c r="D1146" s="534"/>
      <c r="E1146" s="534"/>
      <c r="F1146" s="534"/>
      <c r="G1146" s="534"/>
      <c r="H1146" s="534"/>
      <c r="I1146" s="534"/>
      <c r="J1146" s="534"/>
      <c r="K1146" s="534"/>
      <c r="L1146" s="534"/>
      <c r="M1146" s="838"/>
      <c r="N1146" s="838"/>
      <c r="O1146" s="838"/>
      <c r="P1146" s="839"/>
    </row>
    <row r="1147" spans="2:24" s="146" customFormat="1" ht="9.9499999999999993" customHeight="1" thickBot="1" x14ac:dyDescent="0.3">
      <c r="C1147" s="80"/>
      <c r="D1147" s="534"/>
      <c r="E1147" s="534"/>
      <c r="F1147" s="534"/>
      <c r="G1147" s="534"/>
      <c r="H1147" s="534"/>
      <c r="I1147" s="534"/>
      <c r="J1147" s="534"/>
      <c r="K1147" s="534"/>
      <c r="L1147" s="534"/>
      <c r="M1147" s="838"/>
      <c r="N1147" s="838"/>
      <c r="O1147" s="838"/>
      <c r="P1147" s="839"/>
    </row>
    <row r="1148" spans="2:24" s="146" customFormat="1" ht="18" customHeight="1" x14ac:dyDescent="0.25">
      <c r="B1148" s="31" t="s">
        <v>34</v>
      </c>
      <c r="C1148" s="29"/>
      <c r="E1148" s="30"/>
      <c r="F1148" s="30"/>
      <c r="G1148" s="1041" t="s">
        <v>343</v>
      </c>
      <c r="H1148" s="1042"/>
      <c r="I1148" s="1042"/>
      <c r="J1148" s="1043"/>
      <c r="K1148" s="1085">
        <f>'[25]MEMÓRIA DE CÁLCULO'!$K$1220</f>
        <v>60</v>
      </c>
      <c r="L1148" s="1086"/>
      <c r="M1148" s="838"/>
      <c r="N1148" s="838"/>
      <c r="O1148" s="838"/>
      <c r="P1148" s="839"/>
    </row>
    <row r="1149" spans="2:24" s="146" customFormat="1" ht="18" customHeight="1" x14ac:dyDescent="0.25">
      <c r="B1149" s="31" t="str">
        <f>C1133</f>
        <v>4.1</v>
      </c>
      <c r="C1149" s="29"/>
      <c r="E1149" s="30"/>
      <c r="F1149" s="30"/>
      <c r="G1149" s="1082" t="s">
        <v>344</v>
      </c>
      <c r="H1149" s="1083"/>
      <c r="I1149" s="1083"/>
      <c r="J1149" s="1084"/>
      <c r="K1149" s="1075">
        <f>K1148+O1133</f>
        <v>60</v>
      </c>
      <c r="L1149" s="1076"/>
      <c r="M1149" s="838"/>
      <c r="N1149" s="838"/>
      <c r="O1149" s="838"/>
      <c r="P1149" s="839"/>
    </row>
    <row r="1150" spans="2:24" s="146" customFormat="1" ht="18" customHeight="1" x14ac:dyDescent="0.25">
      <c r="C1150" s="29"/>
      <c r="D1150" s="30"/>
      <c r="E1150" s="30"/>
      <c r="F1150" s="30"/>
      <c r="G1150" s="1082" t="s">
        <v>345</v>
      </c>
      <c r="H1150" s="1083"/>
      <c r="I1150" s="1083"/>
      <c r="J1150" s="1084"/>
      <c r="K1150" s="1075">
        <f>VLOOKUP(C1133,'[26]BM DETALHADO'!$B$13:$E$126,4,FALSE)</f>
        <v>60</v>
      </c>
      <c r="L1150" s="1076"/>
      <c r="M1150" s="838"/>
      <c r="N1150" s="838"/>
      <c r="O1150" s="838"/>
      <c r="P1150" s="839"/>
    </row>
    <row r="1151" spans="2:24" s="146" customFormat="1" ht="18" customHeight="1" thickBot="1" x14ac:dyDescent="0.3">
      <c r="C1151" s="29"/>
      <c r="D1151" s="30"/>
      <c r="E1151" s="30"/>
      <c r="F1151" s="30"/>
      <c r="G1151" s="1077" t="s">
        <v>346</v>
      </c>
      <c r="H1151" s="1078"/>
      <c r="I1151" s="1078"/>
      <c r="J1151" s="1079"/>
      <c r="K1151" s="1068">
        <f>K1150-K1149</f>
        <v>0</v>
      </c>
      <c r="L1151" s="1069"/>
      <c r="M1151" s="838"/>
      <c r="N1151" s="838"/>
      <c r="O1151" s="838"/>
      <c r="P1151" s="839"/>
    </row>
    <row r="1152" spans="2:24" s="146" customFormat="1" ht="9.9499999999999993" customHeight="1" thickBot="1" x14ac:dyDescent="0.3">
      <c r="C1152" s="21"/>
      <c r="D1152" s="22"/>
      <c r="E1152" s="22"/>
      <c r="F1152" s="22"/>
      <c r="G1152" s="360"/>
      <c r="H1152" s="360"/>
      <c r="I1152" s="360"/>
      <c r="J1152" s="360"/>
      <c r="K1152" s="361"/>
      <c r="L1152" s="361"/>
      <c r="M1152" s="840"/>
      <c r="N1152" s="840"/>
      <c r="O1152" s="840"/>
      <c r="P1152" s="841"/>
    </row>
    <row r="1153" spans="3:16" s="146" customFormat="1" ht="18" customHeight="1" x14ac:dyDescent="0.25">
      <c r="C1153" s="20" t="s">
        <v>34</v>
      </c>
      <c r="D1153" s="1052" t="s">
        <v>35</v>
      </c>
      <c r="E1153" s="1053"/>
      <c r="F1153" s="1053"/>
      <c r="G1153" s="1053"/>
      <c r="H1153" s="1053"/>
      <c r="I1153" s="1053"/>
      <c r="J1153" s="1053"/>
      <c r="K1153" s="1053"/>
      <c r="L1153" s="1053"/>
      <c r="M1153" s="1054"/>
      <c r="N1153" s="145" t="s">
        <v>0</v>
      </c>
      <c r="O1153" s="1107" t="s">
        <v>4</v>
      </c>
      <c r="P1153" s="1108"/>
    </row>
    <row r="1154" spans="3:16" s="146" customFormat="1" ht="69.95" customHeight="1" thickBot="1" x14ac:dyDescent="0.3">
      <c r="C1154" s="85" t="s">
        <v>203</v>
      </c>
      <c r="D1154" s="1070" t="str">
        <f>VLOOKUP(C1154,'BM DETALHADO'!$B$13:$D$126,2,FALSE)</f>
        <v>MANUAL, COM SOQUETE</v>
      </c>
      <c r="E1154" s="1071"/>
      <c r="F1154" s="1071"/>
      <c r="G1154" s="1071"/>
      <c r="H1154" s="1071"/>
      <c r="I1154" s="1071"/>
      <c r="J1154" s="1071"/>
      <c r="K1154" s="1071"/>
      <c r="L1154" s="1071"/>
      <c r="M1154" s="1072"/>
      <c r="N1154" s="19" t="str">
        <f>VLOOKUP(C1154,'BM DETALHADO'!$B$13:$D$126,3,FALSE)</f>
        <v>M³</v>
      </c>
      <c r="O1154" s="1109"/>
      <c r="P1154" s="1110"/>
    </row>
    <row r="1155" spans="3:16" s="146" customFormat="1" ht="9.9499999999999993" customHeight="1" x14ac:dyDescent="0.25">
      <c r="C1155" s="77"/>
      <c r="D1155" s="78"/>
      <c r="E1155" s="79"/>
      <c r="F1155" s="79"/>
      <c r="G1155" s="79"/>
      <c r="H1155" s="79"/>
      <c r="I1155" s="79"/>
      <c r="J1155" s="79"/>
      <c r="K1155" s="79"/>
      <c r="L1155" s="79"/>
      <c r="M1155" s="79"/>
      <c r="N1155" s="79"/>
      <c r="O1155" s="91"/>
      <c r="P1155" s="92"/>
    </row>
    <row r="1156" spans="3:16" s="146" customFormat="1" ht="18" customHeight="1" x14ac:dyDescent="0.25">
      <c r="C1156" s="336"/>
      <c r="D1156" s="1031" t="s">
        <v>308</v>
      </c>
      <c r="E1156" s="1031"/>
      <c r="F1156" s="1031"/>
      <c r="G1156" s="595" t="s">
        <v>389</v>
      </c>
      <c r="H1156" s="625" t="s">
        <v>339</v>
      </c>
      <c r="I1156" s="592" t="s">
        <v>402</v>
      </c>
      <c r="J1156" s="508" t="s">
        <v>329</v>
      </c>
      <c r="K1156" s="1358" t="s">
        <v>414</v>
      </c>
      <c r="L1156" s="1358"/>
      <c r="M1156" s="754" t="s">
        <v>19</v>
      </c>
      <c r="N1156" s="169"/>
      <c r="O1156" s="343"/>
      <c r="P1156" s="93"/>
    </row>
    <row r="1157" spans="3:16" s="146" customFormat="1" ht="18" customHeight="1" x14ac:dyDescent="0.25">
      <c r="C1157" s="336"/>
      <c r="D1157" s="1356" t="s">
        <v>441</v>
      </c>
      <c r="E1157" s="1356"/>
      <c r="F1157" s="1356"/>
      <c r="G1157" s="842">
        <v>1.1000000000000001</v>
      </c>
      <c r="H1157" s="755">
        <v>1.1000000000000001</v>
      </c>
      <c r="I1157" s="757">
        <v>2.5</v>
      </c>
      <c r="J1157" s="756">
        <f>G1157*H1157*I1157</f>
        <v>3.0250000000000004</v>
      </c>
      <c r="K1157" s="1208">
        <f>1*1*0.4</f>
        <v>0.4</v>
      </c>
      <c r="L1157" s="1208"/>
      <c r="M1157" s="759">
        <f>J1157-K1157</f>
        <v>2.6250000000000004</v>
      </c>
      <c r="N1157" s="618"/>
      <c r="O1157" s="618"/>
      <c r="P1157" s="751"/>
    </row>
    <row r="1158" spans="3:16" s="146" customFormat="1" ht="18" customHeight="1" x14ac:dyDescent="0.25">
      <c r="C1158" s="202"/>
      <c r="D1158" s="1356" t="s">
        <v>444</v>
      </c>
      <c r="E1158" s="1356"/>
      <c r="F1158" s="1356"/>
      <c r="G1158" s="842">
        <v>1.5</v>
      </c>
      <c r="H1158" s="755">
        <v>1.5</v>
      </c>
      <c r="I1158" s="757">
        <v>1.8</v>
      </c>
      <c r="J1158" s="756">
        <f t="shared" ref="J1158:J1161" si="2">G1158*H1158*I1158</f>
        <v>4.05</v>
      </c>
      <c r="K1158" s="1208">
        <f t="shared" ref="K1158:K1161" si="3">1*1*0.4</f>
        <v>0.4</v>
      </c>
      <c r="L1158" s="1208"/>
      <c r="M1158" s="759">
        <f t="shared" ref="M1158:M1161" si="4">J1158-K1158</f>
        <v>3.65</v>
      </c>
      <c r="N1158" s="618"/>
      <c r="O1158" s="618"/>
      <c r="P1158" s="751"/>
    </row>
    <row r="1159" spans="3:16" s="146" customFormat="1" ht="18" customHeight="1" x14ac:dyDescent="0.25">
      <c r="C1159" s="202"/>
      <c r="D1159" s="1210" t="s">
        <v>442</v>
      </c>
      <c r="E1159" s="1210"/>
      <c r="F1159" s="1210"/>
      <c r="G1159" s="842">
        <v>1.2</v>
      </c>
      <c r="H1159" s="758">
        <v>1.2</v>
      </c>
      <c r="I1159" s="757">
        <v>2.6</v>
      </c>
      <c r="J1159" s="756">
        <f t="shared" si="2"/>
        <v>3.7439999999999998</v>
      </c>
      <c r="K1159" s="1209">
        <f t="shared" si="3"/>
        <v>0.4</v>
      </c>
      <c r="L1159" s="1209"/>
      <c r="M1159" s="759">
        <f t="shared" si="4"/>
        <v>3.3439999999999999</v>
      </c>
      <c r="N1159" s="618"/>
      <c r="O1159" s="618"/>
      <c r="P1159" s="751"/>
    </row>
    <row r="1160" spans="3:16" s="146" customFormat="1" ht="18" customHeight="1" x14ac:dyDescent="0.25">
      <c r="C1160" s="202"/>
      <c r="D1160" s="1357" t="s">
        <v>443</v>
      </c>
      <c r="E1160" s="1357"/>
      <c r="F1160" s="1357"/>
      <c r="G1160" s="698">
        <v>1.04</v>
      </c>
      <c r="H1160" s="756">
        <v>1</v>
      </c>
      <c r="I1160" s="757">
        <v>2.8</v>
      </c>
      <c r="J1160" s="756">
        <f t="shared" si="2"/>
        <v>2.9119999999999999</v>
      </c>
      <c r="K1160" s="1209">
        <f t="shared" si="3"/>
        <v>0.4</v>
      </c>
      <c r="L1160" s="1209"/>
      <c r="M1160" s="759">
        <f t="shared" si="4"/>
        <v>2.512</v>
      </c>
      <c r="N1160" s="618"/>
      <c r="O1160" s="618"/>
      <c r="P1160" s="751"/>
    </row>
    <row r="1161" spans="3:16" s="146" customFormat="1" ht="18" customHeight="1" x14ac:dyDescent="0.25">
      <c r="C1161" s="202"/>
      <c r="D1161" s="1210" t="s">
        <v>450</v>
      </c>
      <c r="E1161" s="1210"/>
      <c r="F1161" s="1210"/>
      <c r="G1161" s="698">
        <v>1.25</v>
      </c>
      <c r="H1161" s="756">
        <v>1.5</v>
      </c>
      <c r="I1161" s="757">
        <v>2.5499999999999998</v>
      </c>
      <c r="J1161" s="756">
        <f t="shared" si="2"/>
        <v>4.78125</v>
      </c>
      <c r="K1161" s="1209">
        <f t="shared" si="3"/>
        <v>0.4</v>
      </c>
      <c r="L1161" s="1209"/>
      <c r="M1161" s="759">
        <f t="shared" si="4"/>
        <v>4.3812499999999996</v>
      </c>
      <c r="N1161" s="618"/>
      <c r="O1161" s="618"/>
      <c r="P1161" s="751"/>
    </row>
    <row r="1162" spans="3:16" s="146" customFormat="1" ht="19.5" customHeight="1" x14ac:dyDescent="0.25">
      <c r="C1162" s="80"/>
      <c r="D1162" s="1031" t="s">
        <v>19</v>
      </c>
      <c r="E1162" s="1031"/>
      <c r="F1162" s="1031"/>
      <c r="G1162" s="1031"/>
      <c r="H1162" s="1031"/>
      <c r="I1162" s="1031"/>
      <c r="J1162" s="1031"/>
      <c r="K1162" s="1031"/>
      <c r="L1162" s="1031"/>
      <c r="M1162" s="759">
        <f>SUM(M1157:M1161)</f>
        <v>16.512250000000002</v>
      </c>
      <c r="N1162" s="618"/>
      <c r="O1162" s="618"/>
      <c r="P1162" s="751"/>
    </row>
    <row r="1163" spans="3:16" s="577" customFormat="1" ht="18" customHeight="1" x14ac:dyDescent="0.25">
      <c r="C1163" s="80"/>
      <c r="D1163" s="81"/>
      <c r="E1163" s="81"/>
      <c r="F1163" s="81"/>
      <c r="G1163" s="81"/>
      <c r="H1163" s="81"/>
      <c r="I1163" s="81"/>
      <c r="J1163" s="81"/>
      <c r="K1163" s="81"/>
      <c r="L1163" s="81"/>
      <c r="M1163" s="618"/>
      <c r="N1163" s="618"/>
      <c r="O1163" s="618"/>
      <c r="P1163" s="751"/>
    </row>
    <row r="1164" spans="3:16" s="577" customFormat="1" ht="18" customHeight="1" x14ac:dyDescent="0.25">
      <c r="C1164" s="80"/>
      <c r="D1164" s="81"/>
      <c r="E1164" s="81"/>
      <c r="F1164" s="81"/>
      <c r="G1164" s="81"/>
      <c r="H1164" s="81"/>
      <c r="I1164" s="81"/>
      <c r="J1164" s="81"/>
      <c r="K1164" s="81"/>
      <c r="L1164" s="81"/>
      <c r="M1164" s="81"/>
      <c r="N1164" s="81"/>
      <c r="O1164" s="96"/>
      <c r="P1164" s="97"/>
    </row>
    <row r="1165" spans="3:16" s="577" customFormat="1" ht="18" customHeight="1" x14ac:dyDescent="0.25">
      <c r="C1165" s="80"/>
      <c r="D1165" s="81"/>
      <c r="E1165" s="81"/>
      <c r="F1165" s="81"/>
      <c r="G1165" s="81"/>
      <c r="H1165" s="81"/>
      <c r="I1165" s="81"/>
      <c r="J1165" s="81"/>
      <c r="K1165" s="81"/>
      <c r="L1165" s="81"/>
      <c r="M1165" s="1115" t="s">
        <v>457</v>
      </c>
      <c r="N1165" s="1115"/>
      <c r="O1165" s="1115"/>
      <c r="P1165" s="1116"/>
    </row>
    <row r="1166" spans="3:16" s="577" customFormat="1" ht="18" customHeight="1" x14ac:dyDescent="0.25">
      <c r="C1166" s="80"/>
      <c r="D1166" s="81"/>
      <c r="E1166" s="81"/>
      <c r="F1166" s="81"/>
      <c r="G1166" s="81"/>
      <c r="H1166" s="81"/>
      <c r="I1166" s="81"/>
      <c r="J1166" s="81"/>
      <c r="K1166" s="81"/>
      <c r="L1166" s="81"/>
      <c r="M1166" s="1115"/>
      <c r="N1166" s="1115"/>
      <c r="O1166" s="1115"/>
      <c r="P1166" s="1116"/>
    </row>
    <row r="1167" spans="3:16" s="577" customFormat="1" ht="18" customHeight="1" x14ac:dyDescent="0.25">
      <c r="C1167" s="80"/>
      <c r="D1167" s="81"/>
      <c r="E1167" s="81"/>
      <c r="F1167" s="81"/>
      <c r="G1167" s="81"/>
      <c r="H1167" s="81"/>
      <c r="I1167" s="81"/>
      <c r="J1167" s="81"/>
      <c r="K1167" s="81"/>
      <c r="L1167" s="81"/>
      <c r="M1167" s="1115"/>
      <c r="N1167" s="1115"/>
      <c r="O1167" s="1115"/>
      <c r="P1167" s="1116"/>
    </row>
    <row r="1168" spans="3:16" s="577" customFormat="1" ht="18" customHeight="1" thickBot="1" x14ac:dyDescent="0.3">
      <c r="C1168" s="80"/>
      <c r="D1168" s="81"/>
      <c r="E1168" s="81"/>
      <c r="F1168" s="81"/>
      <c r="G1168" s="81"/>
      <c r="H1168" s="81"/>
      <c r="I1168" s="81"/>
      <c r="J1168" s="81"/>
      <c r="K1168" s="81"/>
      <c r="L1168" s="81"/>
      <c r="M1168" s="1115"/>
      <c r="N1168" s="1115"/>
      <c r="O1168" s="1115"/>
      <c r="P1168" s="1116"/>
    </row>
    <row r="1169" spans="2:22" s="146" customFormat="1" ht="18" customHeight="1" x14ac:dyDescent="0.25">
      <c r="B1169" s="31" t="s">
        <v>34</v>
      </c>
      <c r="C1169" s="29"/>
      <c r="E1169" s="30"/>
      <c r="F1169" s="30"/>
      <c r="G1169" s="1041" t="s">
        <v>343</v>
      </c>
      <c r="H1169" s="1042"/>
      <c r="I1169" s="1042"/>
      <c r="J1169" s="1043"/>
      <c r="K1169" s="1085">
        <f>'[25]MEMÓRIA DE CÁLCULO'!$K$1242</f>
        <v>50</v>
      </c>
      <c r="L1169" s="1086"/>
      <c r="M1169" s="1115"/>
      <c r="N1169" s="1115"/>
      <c r="O1169" s="1115"/>
      <c r="P1169" s="1116"/>
    </row>
    <row r="1170" spans="2:22" s="146" customFormat="1" ht="18" customHeight="1" x14ac:dyDescent="0.25">
      <c r="B1170" s="31" t="str">
        <f>C1154</f>
        <v>4.2</v>
      </c>
      <c r="C1170" s="29"/>
      <c r="E1170" s="30"/>
      <c r="F1170" s="30"/>
      <c r="G1170" s="1082" t="s">
        <v>344</v>
      </c>
      <c r="H1170" s="1083"/>
      <c r="I1170" s="1083"/>
      <c r="J1170" s="1084"/>
      <c r="K1170" s="1075">
        <f>K1169+O1154</f>
        <v>50</v>
      </c>
      <c r="L1170" s="1076"/>
      <c r="M1170" s="1115"/>
      <c r="N1170" s="1115"/>
      <c r="O1170" s="1115"/>
      <c r="P1170" s="1116"/>
    </row>
    <row r="1171" spans="2:22" s="146" customFormat="1" ht="18" customHeight="1" x14ac:dyDescent="0.25">
      <c r="C1171" s="29"/>
      <c r="D1171" s="30"/>
      <c r="E1171" s="30"/>
      <c r="F1171" s="30"/>
      <c r="G1171" s="1082" t="s">
        <v>345</v>
      </c>
      <c r="H1171" s="1083"/>
      <c r="I1171" s="1083"/>
      <c r="J1171" s="1084"/>
      <c r="K1171" s="1075">
        <f>VLOOKUP(C1154,'[26]BM DETALHADO'!$B$13:$E$126,4,FALSE)</f>
        <v>50</v>
      </c>
      <c r="L1171" s="1076"/>
      <c r="M1171" s="1115"/>
      <c r="N1171" s="1115"/>
      <c r="O1171" s="1115"/>
      <c r="P1171" s="1116"/>
    </row>
    <row r="1172" spans="2:22" s="146" customFormat="1" ht="18" customHeight="1" thickBot="1" x14ac:dyDescent="0.3">
      <c r="C1172" s="29"/>
      <c r="D1172" s="30"/>
      <c r="E1172" s="30"/>
      <c r="F1172" s="30"/>
      <c r="G1172" s="1077" t="s">
        <v>346</v>
      </c>
      <c r="H1172" s="1078"/>
      <c r="I1172" s="1078"/>
      <c r="J1172" s="1079"/>
      <c r="K1172" s="1068">
        <f>K1171-K1170</f>
        <v>0</v>
      </c>
      <c r="L1172" s="1069"/>
      <c r="M1172" s="1115"/>
      <c r="N1172" s="1115"/>
      <c r="O1172" s="1115"/>
      <c r="P1172" s="1116"/>
    </row>
    <row r="1173" spans="2:22" s="146" customFormat="1" ht="9.9499999999999993" customHeight="1" thickBot="1" x14ac:dyDescent="0.3">
      <c r="C1173" s="21"/>
      <c r="D1173" s="22"/>
      <c r="E1173" s="22"/>
      <c r="F1173" s="22"/>
      <c r="G1173" s="360"/>
      <c r="H1173" s="360"/>
      <c r="I1173" s="360"/>
      <c r="J1173" s="360"/>
      <c r="K1173" s="361"/>
      <c r="L1173" s="361"/>
      <c r="M1173" s="1366"/>
      <c r="N1173" s="1366"/>
      <c r="O1173" s="1366"/>
      <c r="P1173" s="1367"/>
    </row>
    <row r="1174" spans="2:22" s="146" customFormat="1" ht="18" customHeight="1" x14ac:dyDescent="0.25">
      <c r="C1174" s="20" t="s">
        <v>34</v>
      </c>
      <c r="D1174" s="1052" t="s">
        <v>35</v>
      </c>
      <c r="E1174" s="1053"/>
      <c r="F1174" s="1053"/>
      <c r="G1174" s="1053"/>
      <c r="H1174" s="1053"/>
      <c r="I1174" s="1053"/>
      <c r="J1174" s="1053"/>
      <c r="K1174" s="1053"/>
      <c r="L1174" s="1053"/>
      <c r="M1174" s="1054"/>
      <c r="N1174" s="145" t="s">
        <v>0</v>
      </c>
      <c r="O1174" s="1107" t="s">
        <v>4</v>
      </c>
      <c r="P1174" s="1108"/>
    </row>
    <row r="1175" spans="2:22" s="146" customFormat="1" ht="69.95" customHeight="1" thickBot="1" x14ac:dyDescent="0.3">
      <c r="C1175" s="85" t="s">
        <v>215</v>
      </c>
      <c r="D1175" s="1070" t="str">
        <f>VLOOKUP(C1175,'BM DETALHADO'!$B$13:$D$126,2,FALSE)</f>
        <v>CONCRETO MAGRO, TRAÇO 1:3:6, PREPARADO EM OBRA COM BETONEIRA, SEM FUNÇÃO ESTRUTURAL</v>
      </c>
      <c r="E1175" s="1071"/>
      <c r="F1175" s="1071"/>
      <c r="G1175" s="1071"/>
      <c r="H1175" s="1071"/>
      <c r="I1175" s="1071"/>
      <c r="J1175" s="1071"/>
      <c r="K1175" s="1071"/>
      <c r="L1175" s="1071"/>
      <c r="M1175" s="1072"/>
      <c r="N1175" s="19" t="str">
        <f>VLOOKUP(C1175,'BM DETALHADO'!$B$13:$D$126,3,FALSE)</f>
        <v>M3</v>
      </c>
      <c r="O1175" s="1109">
        <f>H1184</f>
        <v>0.25</v>
      </c>
      <c r="P1175" s="1110"/>
    </row>
    <row r="1176" spans="2:22" s="146" customFormat="1" ht="9.9499999999999993" customHeight="1" x14ac:dyDescent="0.25">
      <c r="C1176" s="77"/>
      <c r="D1176" s="78"/>
      <c r="E1176" s="79"/>
      <c r="F1176" s="79"/>
      <c r="G1176" s="79"/>
      <c r="H1176" s="79"/>
      <c r="I1176" s="79"/>
      <c r="J1176" s="79"/>
      <c r="K1176" s="79"/>
      <c r="L1176" s="79"/>
      <c r="M1176" s="79"/>
      <c r="N1176" s="79"/>
      <c r="O1176" s="91"/>
      <c r="P1176" s="92"/>
    </row>
    <row r="1177" spans="2:22" s="146" customFormat="1" ht="18" customHeight="1" x14ac:dyDescent="0.25">
      <c r="C1177" s="336"/>
      <c r="D1177" s="727" t="s">
        <v>349</v>
      </c>
      <c r="E1177" s="727" t="s">
        <v>327</v>
      </c>
      <c r="F1177" s="727" t="s">
        <v>339</v>
      </c>
      <c r="G1177" s="727" t="s">
        <v>328</v>
      </c>
      <c r="H1177" s="424" t="s">
        <v>329</v>
      </c>
      <c r="I1177" s="598"/>
      <c r="J1177" s="341"/>
      <c r="K1177" s="219"/>
      <c r="L1177" s="341"/>
      <c r="M1177" s="211"/>
      <c r="N1177" s="211"/>
      <c r="O1177" s="211"/>
      <c r="P1177" s="93"/>
    </row>
    <row r="1178" spans="2:22" s="146" customFormat="1" ht="18" customHeight="1" x14ac:dyDescent="0.25">
      <c r="C1178" s="336"/>
      <c r="D1178" s="729" t="s">
        <v>441</v>
      </c>
      <c r="E1178" s="752">
        <v>1</v>
      </c>
      <c r="F1178" s="752">
        <v>1</v>
      </c>
      <c r="G1178" s="752">
        <v>0.05</v>
      </c>
      <c r="H1178" s="761">
        <f>E1178*F1178*G1178</f>
        <v>0.05</v>
      </c>
      <c r="I1178" s="263"/>
      <c r="J1178" s="263"/>
      <c r="K1178" s="263"/>
      <c r="L1178" s="342"/>
      <c r="M1178" s="211"/>
      <c r="N1178" s="211"/>
      <c r="O1178" s="211"/>
      <c r="P1178" s="93"/>
      <c r="S1178" s="529"/>
      <c r="T1178" s="529"/>
      <c r="U1178" s="529"/>
      <c r="V1178" s="529"/>
    </row>
    <row r="1179" spans="2:22" s="146" customFormat="1" ht="18" customHeight="1" x14ac:dyDescent="0.25">
      <c r="C1179" s="202"/>
      <c r="D1179" s="726" t="s">
        <v>444</v>
      </c>
      <c r="E1179" s="753">
        <v>1</v>
      </c>
      <c r="F1179" s="753">
        <v>1</v>
      </c>
      <c r="G1179" s="753">
        <v>0.05</v>
      </c>
      <c r="H1179" s="762">
        <f t="shared" ref="H1179:H1182" si="5">E1179*F1179*G1179</f>
        <v>0.05</v>
      </c>
      <c r="I1179" s="263"/>
      <c r="J1179" s="263"/>
      <c r="K1179" s="263"/>
      <c r="L1179" s="342"/>
      <c r="M1179" s="211"/>
      <c r="N1179" s="211"/>
      <c r="O1179" s="211"/>
      <c r="P1179" s="93"/>
      <c r="S1179" s="537"/>
      <c r="T1179" s="192"/>
      <c r="U1179" s="500"/>
      <c r="V1179" s="500"/>
    </row>
    <row r="1180" spans="2:22" s="146" customFormat="1" ht="18" customHeight="1" x14ac:dyDescent="0.25">
      <c r="C1180" s="202"/>
      <c r="D1180" s="726" t="s">
        <v>442</v>
      </c>
      <c r="E1180" s="753">
        <v>1</v>
      </c>
      <c r="F1180" s="753">
        <v>1</v>
      </c>
      <c r="G1180" s="753">
        <v>0.05</v>
      </c>
      <c r="H1180" s="762">
        <f t="shared" si="5"/>
        <v>0.05</v>
      </c>
      <c r="I1180" s="263"/>
      <c r="J1180" s="263"/>
      <c r="K1180" s="263"/>
      <c r="L1180" s="342"/>
      <c r="M1180" s="211"/>
      <c r="N1180" s="211"/>
      <c r="O1180" s="211"/>
      <c r="P1180" s="93"/>
      <c r="S1180" s="537"/>
      <c r="T1180" s="192"/>
      <c r="U1180" s="500"/>
      <c r="V1180" s="500"/>
    </row>
    <row r="1181" spans="2:22" s="146" customFormat="1" ht="18" customHeight="1" x14ac:dyDescent="0.25">
      <c r="C1181" s="202"/>
      <c r="D1181" s="726" t="s">
        <v>443</v>
      </c>
      <c r="E1181" s="753">
        <v>1</v>
      </c>
      <c r="F1181" s="753">
        <v>1</v>
      </c>
      <c r="G1181" s="753">
        <v>0.05</v>
      </c>
      <c r="H1181" s="762">
        <f t="shared" si="5"/>
        <v>0.05</v>
      </c>
      <c r="I1181" s="263"/>
      <c r="J1181" s="263"/>
      <c r="K1181" s="263"/>
      <c r="L1181" s="342"/>
      <c r="M1181" s="211"/>
      <c r="N1181" s="211"/>
      <c r="O1181" s="211"/>
      <c r="P1181" s="93"/>
      <c r="S1181" s="537"/>
      <c r="T1181" s="192"/>
      <c r="U1181" s="500"/>
      <c r="V1181" s="500"/>
    </row>
    <row r="1182" spans="2:22" s="146" customFormat="1" ht="18" customHeight="1" x14ac:dyDescent="0.25">
      <c r="C1182" s="202"/>
      <c r="D1182" s="1050" t="s">
        <v>445</v>
      </c>
      <c r="E1182" s="1046">
        <v>1</v>
      </c>
      <c r="F1182" s="1046">
        <v>1</v>
      </c>
      <c r="G1182" s="1046">
        <v>0.05</v>
      </c>
      <c r="H1182" s="1206">
        <f t="shared" si="5"/>
        <v>0.05</v>
      </c>
      <c r="I1182" s="263"/>
      <c r="J1182" s="263"/>
      <c r="K1182" s="263"/>
      <c r="L1182" s="342"/>
      <c r="M1182" s="211"/>
      <c r="N1182" s="211"/>
      <c r="O1182" s="211"/>
      <c r="P1182" s="93"/>
      <c r="S1182" s="528"/>
      <c r="T1182" s="192"/>
      <c r="U1182" s="500"/>
      <c r="V1182" s="500"/>
    </row>
    <row r="1183" spans="2:22" s="611" customFormat="1" ht="18" customHeight="1" x14ac:dyDescent="0.25">
      <c r="C1183" s="202"/>
      <c r="D1183" s="1051"/>
      <c r="E1183" s="1047"/>
      <c r="F1183" s="1047"/>
      <c r="G1183" s="1047"/>
      <c r="H1183" s="1207"/>
      <c r="I1183" s="263"/>
      <c r="J1183" s="263"/>
      <c r="K1183" s="263"/>
      <c r="L1183" s="805"/>
      <c r="M1183" s="211"/>
      <c r="N1183" s="211"/>
      <c r="O1183" s="211"/>
      <c r="P1183" s="93"/>
      <c r="S1183" s="803"/>
      <c r="T1183" s="192"/>
      <c r="U1183" s="500"/>
      <c r="V1183" s="500"/>
    </row>
    <row r="1184" spans="2:22" s="146" customFormat="1" ht="18" customHeight="1" x14ac:dyDescent="0.25">
      <c r="C1184" s="202"/>
      <c r="D1184" s="1031" t="s">
        <v>19</v>
      </c>
      <c r="E1184" s="1031"/>
      <c r="F1184" s="1031"/>
      <c r="G1184" s="1031"/>
      <c r="H1184" s="625">
        <f>SUM(H1178:H1182)</f>
        <v>0.25</v>
      </c>
      <c r="I1184" s="263"/>
      <c r="J1184" s="263"/>
      <c r="K1184" s="263"/>
      <c r="L1184" s="342"/>
      <c r="M1184" s="211"/>
      <c r="N1184" s="211"/>
      <c r="O1184" s="211"/>
      <c r="P1184" s="93"/>
      <c r="S1184" s="528"/>
      <c r="T1184" s="192"/>
      <c r="U1184" s="500"/>
      <c r="V1184" s="500"/>
    </row>
    <row r="1185" spans="2:22" s="146" customFormat="1" ht="18" customHeight="1" x14ac:dyDescent="0.25">
      <c r="C1185" s="80"/>
      <c r="D1185" s="1037"/>
      <c r="E1185" s="1037"/>
      <c r="F1185" s="1037"/>
      <c r="G1185" s="1037"/>
      <c r="H1185" s="585"/>
      <c r="I1185" s="538"/>
      <c r="J1185" s="263"/>
      <c r="K1185" s="263"/>
      <c r="L1185" s="342"/>
      <c r="M1185" s="211"/>
      <c r="N1185" s="211"/>
      <c r="O1185" s="211"/>
      <c r="P1185" s="93"/>
      <c r="S1185" s="528"/>
      <c r="T1185" s="192"/>
      <c r="U1185" s="192"/>
      <c r="V1185" s="500"/>
    </row>
    <row r="1186" spans="2:22" s="146" customFormat="1" ht="18" customHeight="1" x14ac:dyDescent="0.25">
      <c r="C1186" s="80"/>
      <c r="D1186" s="211"/>
      <c r="E1186" s="211"/>
      <c r="F1186" s="211"/>
      <c r="G1186" s="330"/>
      <c r="H1186" s="263"/>
      <c r="I1186" s="263"/>
      <c r="J1186" s="263"/>
      <c r="K1186" s="263"/>
      <c r="L1186" s="342"/>
      <c r="M1186" s="211"/>
      <c r="N1186" s="211"/>
      <c r="O1186" s="211"/>
      <c r="P1186" s="93"/>
      <c r="S1186" s="1373"/>
      <c r="T1186" s="1373"/>
      <c r="U1186" s="1373"/>
      <c r="V1186" s="372"/>
    </row>
    <row r="1187" spans="2:22" s="146" customFormat="1" ht="18" customHeight="1" x14ac:dyDescent="0.25">
      <c r="C1187" s="80"/>
      <c r="D1187" s="211"/>
      <c r="E1187" s="211"/>
      <c r="F1187" s="211"/>
      <c r="G1187" s="330"/>
      <c r="H1187" s="263"/>
      <c r="I1187" s="263"/>
      <c r="J1187" s="263"/>
      <c r="K1187" s="263"/>
      <c r="L1187" s="342"/>
      <c r="M1187" s="211"/>
      <c r="N1187" s="211"/>
      <c r="O1187" s="211"/>
      <c r="P1187" s="93"/>
    </row>
    <row r="1188" spans="2:22" s="611" customFormat="1" ht="18" customHeight="1" x14ac:dyDescent="0.25">
      <c r="C1188" s="80"/>
      <c r="D1188" s="211"/>
      <c r="E1188" s="211"/>
      <c r="F1188" s="211"/>
      <c r="G1188" s="808"/>
      <c r="H1188" s="263"/>
      <c r="I1188" s="263"/>
      <c r="J1188" s="263"/>
      <c r="K1188" s="263"/>
      <c r="L1188" s="805"/>
      <c r="M1188" s="211"/>
      <c r="N1188" s="211"/>
      <c r="O1188" s="211"/>
      <c r="P1188" s="93"/>
    </row>
    <row r="1189" spans="2:22" s="577" customFormat="1" ht="18" customHeight="1" x14ac:dyDescent="0.25">
      <c r="C1189" s="80"/>
      <c r="D1189" s="219"/>
      <c r="E1189" s="219"/>
      <c r="F1189" s="219"/>
      <c r="G1189" s="219"/>
      <c r="H1189" s="219"/>
      <c r="I1189" s="219"/>
      <c r="J1189" s="580"/>
      <c r="K1189" s="299"/>
      <c r="L1189" s="580"/>
      <c r="M1189" s="211"/>
      <c r="N1189" s="211"/>
      <c r="O1189" s="211"/>
      <c r="P1189" s="93"/>
    </row>
    <row r="1190" spans="2:22" s="146" customFormat="1" ht="18" customHeight="1" x14ac:dyDescent="0.25">
      <c r="C1190" s="80"/>
      <c r="D1190" s="211"/>
      <c r="E1190" s="211"/>
      <c r="F1190" s="211"/>
      <c r="G1190" s="211"/>
      <c r="H1190" s="211"/>
      <c r="I1190" s="211"/>
      <c r="J1190" s="211"/>
      <c r="K1190" s="211"/>
      <c r="L1190" s="211"/>
      <c r="M1190" s="211"/>
      <c r="N1190" s="211"/>
      <c r="O1190" s="211"/>
      <c r="P1190" s="93"/>
    </row>
    <row r="1191" spans="2:22" s="146" customFormat="1" ht="9.9499999999999993" customHeight="1" thickBot="1" x14ac:dyDescent="0.3">
      <c r="C1191" s="80"/>
      <c r="D1191" s="81"/>
      <c r="E1191" s="81"/>
      <c r="F1191" s="81"/>
      <c r="G1191" s="81"/>
      <c r="H1191" s="81"/>
      <c r="I1191" s="81"/>
      <c r="J1191" s="81"/>
      <c r="K1191" s="81"/>
      <c r="L1191" s="81"/>
      <c r="M1191" s="81"/>
      <c r="N1191" s="81"/>
      <c r="O1191" s="96"/>
      <c r="P1191" s="97"/>
    </row>
    <row r="1192" spans="2:22" s="146" customFormat="1" ht="18" customHeight="1" x14ac:dyDescent="0.25">
      <c r="B1192" s="31" t="s">
        <v>34</v>
      </c>
      <c r="C1192" s="29"/>
      <c r="E1192" s="30"/>
      <c r="F1192" s="30"/>
      <c r="G1192" s="1041" t="s">
        <v>343</v>
      </c>
      <c r="H1192" s="1042"/>
      <c r="I1192" s="1042"/>
      <c r="J1192" s="1043"/>
      <c r="K1192" s="1085">
        <f>'[27]MEMÓRIA DE CÁLCULO'!$K$1197</f>
        <v>1.48</v>
      </c>
      <c r="L1192" s="1086"/>
      <c r="M1192" s="18"/>
      <c r="N1192" s="18"/>
      <c r="O1192" s="98"/>
      <c r="P1192" s="99"/>
    </row>
    <row r="1193" spans="2:22" s="146" customFormat="1" ht="18" customHeight="1" x14ac:dyDescent="0.25">
      <c r="B1193" s="31" t="str">
        <f>C1175</f>
        <v>5.1</v>
      </c>
      <c r="C1193" s="29"/>
      <c r="E1193" s="30"/>
      <c r="F1193" s="30"/>
      <c r="G1193" s="1082" t="s">
        <v>344</v>
      </c>
      <c r="H1193" s="1083"/>
      <c r="I1193" s="1083"/>
      <c r="J1193" s="1084"/>
      <c r="K1193" s="1075">
        <f>K1192+O1175</f>
        <v>1.73</v>
      </c>
      <c r="L1193" s="1076"/>
      <c r="M1193" s="18"/>
      <c r="N1193" s="18"/>
      <c r="O1193" s="98"/>
      <c r="P1193" s="99"/>
    </row>
    <row r="1194" spans="2:22" s="146" customFormat="1" ht="18" customHeight="1" x14ac:dyDescent="0.25">
      <c r="C1194" s="29"/>
      <c r="D1194" s="30"/>
      <c r="E1194" s="30"/>
      <c r="F1194" s="30"/>
      <c r="G1194" s="1082" t="s">
        <v>345</v>
      </c>
      <c r="H1194" s="1083"/>
      <c r="I1194" s="1083"/>
      <c r="J1194" s="1084"/>
      <c r="K1194" s="1075">
        <f>VLOOKUP(C1175,'[26]BM DETALHADO'!$B$13:$E$126,4,FALSE)</f>
        <v>8.6384000000000007</v>
      </c>
      <c r="L1194" s="1076"/>
      <c r="M1194" s="18"/>
      <c r="N1194" s="18"/>
      <c r="O1194" s="98"/>
      <c r="P1194" s="99"/>
    </row>
    <row r="1195" spans="2:22" s="146" customFormat="1" ht="18" customHeight="1" thickBot="1" x14ac:dyDescent="0.3">
      <c r="C1195" s="29"/>
      <c r="D1195" s="30"/>
      <c r="E1195" s="30"/>
      <c r="F1195" s="30"/>
      <c r="G1195" s="1077" t="s">
        <v>346</v>
      </c>
      <c r="H1195" s="1078"/>
      <c r="I1195" s="1078"/>
      <c r="J1195" s="1079"/>
      <c r="K1195" s="1068">
        <f>K1194-K1193</f>
        <v>6.9084000000000003</v>
      </c>
      <c r="L1195" s="1069"/>
      <c r="M1195" s="18"/>
      <c r="N1195" s="18"/>
      <c r="O1195" s="98"/>
      <c r="P1195" s="99"/>
    </row>
    <row r="1196" spans="2:22" s="146" customFormat="1" ht="9.9499999999999993" customHeight="1" thickBot="1" x14ac:dyDescent="0.3">
      <c r="C1196" s="21"/>
      <c r="D1196" s="22"/>
      <c r="E1196" s="22"/>
      <c r="F1196" s="22"/>
      <c r="G1196" s="360"/>
      <c r="H1196" s="360"/>
      <c r="I1196" s="360"/>
      <c r="J1196" s="360"/>
      <c r="K1196" s="361"/>
      <c r="L1196" s="361"/>
      <c r="M1196" s="22"/>
      <c r="N1196" s="22"/>
      <c r="O1196" s="100"/>
      <c r="P1196" s="101"/>
    </row>
    <row r="1197" spans="2:22" s="146" customFormat="1" ht="18" customHeight="1" x14ac:dyDescent="0.25">
      <c r="C1197" s="20" t="s">
        <v>34</v>
      </c>
      <c r="D1197" s="1052" t="s">
        <v>35</v>
      </c>
      <c r="E1197" s="1053"/>
      <c r="F1197" s="1053"/>
      <c r="G1197" s="1053"/>
      <c r="H1197" s="1053"/>
      <c r="I1197" s="1053"/>
      <c r="J1197" s="1053"/>
      <c r="K1197" s="1053"/>
      <c r="L1197" s="1053"/>
      <c r="M1197" s="1054"/>
      <c r="N1197" s="145" t="s">
        <v>0</v>
      </c>
      <c r="O1197" s="1107" t="s">
        <v>4</v>
      </c>
      <c r="P1197" s="1108"/>
    </row>
    <row r="1198" spans="2:22" s="146" customFormat="1" ht="69.95" customHeight="1" thickBot="1" x14ac:dyDescent="0.3">
      <c r="C1198" s="85" t="s">
        <v>216</v>
      </c>
      <c r="D1198" s="1070" t="str">
        <f>VLOOKUP(C1198,'BM DETALHADO'!$B$13:$D$126,2,FALSE)</f>
        <v>DE COMPENSADO RESINADO ESPESSURA MINIMA &gt;= 12MM</v>
      </c>
      <c r="E1198" s="1071"/>
      <c r="F1198" s="1071"/>
      <c r="G1198" s="1071"/>
      <c r="H1198" s="1071"/>
      <c r="I1198" s="1071"/>
      <c r="J1198" s="1071"/>
      <c r="K1198" s="1071"/>
      <c r="L1198" s="1071"/>
      <c r="M1198" s="1072"/>
      <c r="N1198" s="19" t="str">
        <f>VLOOKUP(C1198,'BM DETALHADO'!$B$13:$D$126,3,FALSE)</f>
        <v>M2</v>
      </c>
      <c r="O1198" s="1109"/>
      <c r="P1198" s="1110"/>
    </row>
    <row r="1199" spans="2:22" s="146" customFormat="1" ht="9.9499999999999993" customHeight="1" x14ac:dyDescent="0.25">
      <c r="C1199" s="77"/>
      <c r="D1199" s="78"/>
      <c r="E1199" s="79"/>
      <c r="F1199" s="79"/>
      <c r="G1199" s="79"/>
      <c r="H1199" s="79"/>
      <c r="I1199" s="79"/>
      <c r="J1199" s="79"/>
      <c r="K1199" s="79"/>
      <c r="L1199" s="79"/>
      <c r="M1199" s="79"/>
      <c r="N1199" s="79"/>
      <c r="O1199" s="91"/>
      <c r="P1199" s="92"/>
    </row>
    <row r="1200" spans="2:22" s="146" customFormat="1" ht="18" customHeight="1" x14ac:dyDescent="0.25">
      <c r="C1200" s="301"/>
      <c r="D1200" s="1171" t="s">
        <v>414</v>
      </c>
      <c r="E1200" s="1171"/>
      <c r="F1200" s="1171"/>
      <c r="G1200" s="1171"/>
      <c r="H1200" s="1171"/>
      <c r="I1200" s="448"/>
      <c r="J1200" s="1171" t="s">
        <v>415</v>
      </c>
      <c r="K1200" s="1171"/>
      <c r="L1200" s="1171"/>
      <c r="M1200" s="1171"/>
      <c r="N1200" s="1171"/>
      <c r="O1200" s="701"/>
      <c r="P1200" s="724"/>
    </row>
    <row r="1201" spans="2:16" s="146" customFormat="1" ht="18" customHeight="1" x14ac:dyDescent="0.25">
      <c r="C1201" s="268"/>
      <c r="D1201" s="727" t="s">
        <v>349</v>
      </c>
      <c r="E1201" s="727" t="s">
        <v>327</v>
      </c>
      <c r="F1201" s="727" t="s">
        <v>339</v>
      </c>
      <c r="G1201" s="727" t="s">
        <v>328</v>
      </c>
      <c r="H1201" s="424" t="s">
        <v>329</v>
      </c>
      <c r="I1201" s="735"/>
      <c r="J1201" s="727" t="s">
        <v>349</v>
      </c>
      <c r="K1201" s="727" t="s">
        <v>327</v>
      </c>
      <c r="L1201" s="727" t="s">
        <v>339</v>
      </c>
      <c r="M1201" s="727" t="s">
        <v>328</v>
      </c>
      <c r="N1201" s="424" t="s">
        <v>329</v>
      </c>
      <c r="O1201" s="263"/>
      <c r="P1201" s="375"/>
    </row>
    <row r="1202" spans="2:16" s="146" customFormat="1" ht="18" customHeight="1" x14ac:dyDescent="0.25">
      <c r="C1202" s="268"/>
      <c r="D1202" s="729" t="s">
        <v>441</v>
      </c>
      <c r="E1202" s="752">
        <v>1</v>
      </c>
      <c r="F1202" s="752">
        <v>1</v>
      </c>
      <c r="G1202" s="752">
        <v>0.4</v>
      </c>
      <c r="H1202" s="761">
        <f>((E1202+F1202)*2)*G1202</f>
        <v>1.6</v>
      </c>
      <c r="I1202" s="735"/>
      <c r="J1202" s="812" t="s">
        <v>441</v>
      </c>
      <c r="K1202" s="752">
        <v>0.3</v>
      </c>
      <c r="L1202" s="752">
        <v>0.3</v>
      </c>
      <c r="M1202" s="752">
        <f>2.5-0.4</f>
        <v>2.1</v>
      </c>
      <c r="N1202" s="761">
        <f>((K1202+L1202)*2)*M1202</f>
        <v>2.52</v>
      </c>
      <c r="O1202" s="263"/>
      <c r="P1202" s="375"/>
    </row>
    <row r="1203" spans="2:16" s="146" customFormat="1" ht="18" customHeight="1" x14ac:dyDescent="0.25">
      <c r="C1203" s="268"/>
      <c r="D1203" s="726" t="s">
        <v>444</v>
      </c>
      <c r="E1203" s="753">
        <v>1</v>
      </c>
      <c r="F1203" s="753">
        <v>1</v>
      </c>
      <c r="G1203" s="753">
        <v>0.4</v>
      </c>
      <c r="H1203" s="762">
        <f t="shared" ref="H1203:H1206" si="6">((E1203+F1203)*2)*G1203</f>
        <v>1.6</v>
      </c>
      <c r="I1203" s="735"/>
      <c r="J1203" s="811" t="s">
        <v>444</v>
      </c>
      <c r="K1203" s="753">
        <v>0.3</v>
      </c>
      <c r="L1203" s="753">
        <v>0.3</v>
      </c>
      <c r="M1203" s="753">
        <f>1.8-0.4</f>
        <v>1.4</v>
      </c>
      <c r="N1203" s="762">
        <f t="shared" ref="N1203:N1206" si="7">((K1203+L1203)*2)*M1203</f>
        <v>1.68</v>
      </c>
      <c r="O1203" s="263"/>
      <c r="P1203" s="375"/>
    </row>
    <row r="1204" spans="2:16" s="146" customFormat="1" ht="18" customHeight="1" x14ac:dyDescent="0.25">
      <c r="C1204" s="268"/>
      <c r="D1204" s="726" t="s">
        <v>442</v>
      </c>
      <c r="E1204" s="753">
        <v>1</v>
      </c>
      <c r="F1204" s="753">
        <v>1</v>
      </c>
      <c r="G1204" s="753">
        <v>0.4</v>
      </c>
      <c r="H1204" s="762">
        <f t="shared" si="6"/>
        <v>1.6</v>
      </c>
      <c r="I1204" s="735"/>
      <c r="J1204" s="811" t="s">
        <v>442</v>
      </c>
      <c r="K1204" s="753">
        <v>0.3</v>
      </c>
      <c r="L1204" s="753">
        <v>0.3</v>
      </c>
      <c r="M1204" s="753">
        <f>2.6-0.4</f>
        <v>2.2000000000000002</v>
      </c>
      <c r="N1204" s="762">
        <f t="shared" si="7"/>
        <v>2.64</v>
      </c>
      <c r="O1204" s="263"/>
      <c r="P1204" s="375"/>
    </row>
    <row r="1205" spans="2:16" s="146" customFormat="1" ht="18" customHeight="1" x14ac:dyDescent="0.25">
      <c r="C1205" s="268"/>
      <c r="D1205" s="726" t="s">
        <v>443</v>
      </c>
      <c r="E1205" s="753">
        <v>1</v>
      </c>
      <c r="F1205" s="753">
        <v>1</v>
      </c>
      <c r="G1205" s="753">
        <v>0.4</v>
      </c>
      <c r="H1205" s="762">
        <f t="shared" si="6"/>
        <v>1.6</v>
      </c>
      <c r="I1205" s="735"/>
      <c r="J1205" s="811" t="s">
        <v>443</v>
      </c>
      <c r="K1205" s="753">
        <v>0.3</v>
      </c>
      <c r="L1205" s="753">
        <v>0.3</v>
      </c>
      <c r="M1205" s="753">
        <f>2.8-0.4</f>
        <v>2.4</v>
      </c>
      <c r="N1205" s="762">
        <f t="shared" si="7"/>
        <v>2.88</v>
      </c>
      <c r="O1205" s="263"/>
      <c r="P1205" s="375"/>
    </row>
    <row r="1206" spans="2:16" s="146" customFormat="1" ht="18" customHeight="1" x14ac:dyDescent="0.25">
      <c r="C1206" s="202"/>
      <c r="D1206" s="1050" t="s">
        <v>445</v>
      </c>
      <c r="E1206" s="1046">
        <v>1</v>
      </c>
      <c r="F1206" s="1046">
        <v>1</v>
      </c>
      <c r="G1206" s="1046">
        <v>0.4</v>
      </c>
      <c r="H1206" s="1048">
        <f t="shared" si="6"/>
        <v>1.6</v>
      </c>
      <c r="I1206" s="735"/>
      <c r="J1206" s="1050" t="s">
        <v>445</v>
      </c>
      <c r="K1206" s="1046">
        <v>0.3</v>
      </c>
      <c r="L1206" s="1046">
        <v>0.3</v>
      </c>
      <c r="M1206" s="1046">
        <f>2.55-0.4</f>
        <v>2.15</v>
      </c>
      <c r="N1206" s="1048">
        <f t="shared" si="7"/>
        <v>2.5799999999999996</v>
      </c>
      <c r="O1206" s="263"/>
      <c r="P1206" s="375"/>
    </row>
    <row r="1207" spans="2:16" s="611" customFormat="1" ht="18" customHeight="1" x14ac:dyDescent="0.25">
      <c r="C1207" s="202"/>
      <c r="D1207" s="1051"/>
      <c r="E1207" s="1047"/>
      <c r="F1207" s="1047"/>
      <c r="G1207" s="1047"/>
      <c r="H1207" s="1049"/>
      <c r="I1207" s="735"/>
      <c r="J1207" s="1051"/>
      <c r="K1207" s="1047"/>
      <c r="L1207" s="1047"/>
      <c r="M1207" s="1047"/>
      <c r="N1207" s="1049"/>
      <c r="O1207" s="263"/>
      <c r="P1207" s="375"/>
    </row>
    <row r="1208" spans="2:16" s="146" customFormat="1" ht="18" customHeight="1" x14ac:dyDescent="0.25">
      <c r="C1208" s="301"/>
      <c r="D1208" s="1031" t="s">
        <v>416</v>
      </c>
      <c r="E1208" s="1031"/>
      <c r="F1208" s="1031"/>
      <c r="G1208" s="1031"/>
      <c r="H1208" s="625">
        <f>SUM(H1202:H1206)</f>
        <v>8</v>
      </c>
      <c r="I1208" s="708"/>
      <c r="J1208" s="1031" t="s">
        <v>417</v>
      </c>
      <c r="K1208" s="1031"/>
      <c r="L1208" s="1031"/>
      <c r="M1208" s="1031"/>
      <c r="N1208" s="625">
        <f>SUM(N1202:N1206)</f>
        <v>12.299999999999999</v>
      </c>
      <c r="O1208" s="263"/>
      <c r="P1208" s="375"/>
    </row>
    <row r="1209" spans="2:16" s="146" customFormat="1" ht="18" customHeight="1" x14ac:dyDescent="0.25">
      <c r="C1209" s="268"/>
      <c r="D1209" s="219"/>
      <c r="E1209" s="219"/>
      <c r="F1209" s="219"/>
      <c r="G1209" s="219"/>
      <c r="H1209" s="702"/>
      <c r="I1209" s="708"/>
      <c r="J1209" s="299"/>
      <c r="K1209" s="299"/>
      <c r="L1209" s="299"/>
      <c r="M1209" s="299"/>
      <c r="N1209" s="702"/>
      <c r="O1209" s="263"/>
      <c r="P1209" s="375"/>
    </row>
    <row r="1210" spans="2:16" s="146" customFormat="1" ht="18" customHeight="1" x14ac:dyDescent="0.25">
      <c r="C1210" s="539"/>
      <c r="D1210" s="540"/>
      <c r="E1210" s="540"/>
      <c r="F1210" s="1211" t="s">
        <v>418</v>
      </c>
      <c r="G1210" s="1211"/>
      <c r="H1210" s="1211"/>
      <c r="I1210" s="760" t="s">
        <v>290</v>
      </c>
      <c r="J1210" s="1212">
        <f>H1208+N1208</f>
        <v>20.299999999999997</v>
      </c>
      <c r="K1210" s="1211"/>
      <c r="L1210" s="1211"/>
      <c r="M1210" s="540"/>
      <c r="N1210" s="540"/>
      <c r="O1210" s="540"/>
      <c r="P1210" s="541"/>
    </row>
    <row r="1211" spans="2:16" s="611" customFormat="1" ht="18" customHeight="1" x14ac:dyDescent="0.25">
      <c r="C1211" s="539"/>
      <c r="D1211" s="540"/>
      <c r="E1211" s="540"/>
      <c r="F1211" s="540"/>
      <c r="G1211" s="540"/>
      <c r="H1211" s="540"/>
      <c r="I1211" s="540"/>
      <c r="J1211" s="540"/>
      <c r="K1211" s="540"/>
      <c r="L1211" s="540"/>
      <c r="M1211" s="540"/>
      <c r="N1211" s="540"/>
      <c r="O1211" s="540"/>
      <c r="P1211" s="541"/>
    </row>
    <row r="1212" spans="2:16" s="611" customFormat="1" ht="18" customHeight="1" x14ac:dyDescent="0.25">
      <c r="C1212" s="539"/>
      <c r="D1212" s="540"/>
      <c r="E1212" s="540"/>
      <c r="F1212" s="540"/>
      <c r="G1212" s="540"/>
      <c r="H1212" s="540"/>
      <c r="I1212" s="540"/>
      <c r="J1212" s="540"/>
      <c r="K1212" s="540"/>
      <c r="L1212" s="540"/>
      <c r="M1212" s="540"/>
      <c r="N1212" s="540"/>
      <c r="O1212" s="540"/>
      <c r="P1212" s="541"/>
    </row>
    <row r="1213" spans="2:16" s="146" customFormat="1" ht="18" customHeight="1" x14ac:dyDescent="0.25">
      <c r="C1213" s="300"/>
      <c r="D1213" s="182"/>
      <c r="E1213" s="182"/>
      <c r="F1213" s="182"/>
      <c r="G1213" s="1128"/>
      <c r="H1213" s="1128"/>
      <c r="I1213" s="1128"/>
      <c r="J1213" s="597"/>
      <c r="K1213" s="208"/>
      <c r="L1213" s="597"/>
      <c r="M1213" s="1215" t="s">
        <v>458</v>
      </c>
      <c r="N1213" s="1215"/>
      <c r="O1213" s="1215"/>
      <c r="P1213" s="1216"/>
    </row>
    <row r="1214" spans="2:16" s="146" customFormat="1" ht="9.9499999999999993" customHeight="1" thickBot="1" x14ac:dyDescent="0.3">
      <c r="C1214" s="80"/>
      <c r="D1214" s="211"/>
      <c r="E1214" s="211"/>
      <c r="F1214" s="211"/>
      <c r="G1214" s="211"/>
      <c r="H1214" s="211"/>
      <c r="I1214" s="211"/>
      <c r="J1214" s="211"/>
      <c r="K1214" s="211"/>
      <c r="L1214" s="211"/>
      <c r="M1214" s="1215"/>
      <c r="N1214" s="1215"/>
      <c r="O1214" s="1215"/>
      <c r="P1214" s="1216"/>
    </row>
    <row r="1215" spans="2:16" s="146" customFormat="1" ht="18" customHeight="1" x14ac:dyDescent="0.25">
      <c r="B1215" s="31" t="s">
        <v>34</v>
      </c>
      <c r="C1215" s="29"/>
      <c r="E1215" s="30"/>
      <c r="F1215" s="30"/>
      <c r="G1215" s="1041" t="s">
        <v>343</v>
      </c>
      <c r="H1215" s="1042"/>
      <c r="I1215" s="1042"/>
      <c r="J1215" s="1043"/>
      <c r="K1215" s="1085">
        <f>'[25]MEMÓRIA DE CÁLCULO'!$K$1288</f>
        <v>18</v>
      </c>
      <c r="L1215" s="1086"/>
      <c r="M1215" s="1215"/>
      <c r="N1215" s="1215"/>
      <c r="O1215" s="1215"/>
      <c r="P1215" s="1216"/>
    </row>
    <row r="1216" spans="2:16" s="146" customFormat="1" ht="18" customHeight="1" x14ac:dyDescent="0.25">
      <c r="B1216" s="31" t="str">
        <f>C1198</f>
        <v>5.2</v>
      </c>
      <c r="C1216" s="29"/>
      <c r="E1216" s="30"/>
      <c r="F1216" s="30"/>
      <c r="G1216" s="1082" t="s">
        <v>344</v>
      </c>
      <c r="H1216" s="1083"/>
      <c r="I1216" s="1083"/>
      <c r="J1216" s="1084"/>
      <c r="K1216" s="1075">
        <f>K1215+O1198</f>
        <v>18</v>
      </c>
      <c r="L1216" s="1076"/>
      <c r="M1216" s="1215"/>
      <c r="N1216" s="1215"/>
      <c r="O1216" s="1215"/>
      <c r="P1216" s="1216"/>
    </row>
    <row r="1217" spans="3:20" s="146" customFormat="1" ht="18" customHeight="1" x14ac:dyDescent="0.25">
      <c r="C1217" s="29"/>
      <c r="D1217" s="30"/>
      <c r="E1217" s="30"/>
      <c r="F1217" s="30"/>
      <c r="G1217" s="1082" t="s">
        <v>345</v>
      </c>
      <c r="H1217" s="1083"/>
      <c r="I1217" s="1083"/>
      <c r="J1217" s="1084"/>
      <c r="K1217" s="1075">
        <f>'BM DETALHADO'!E88</f>
        <v>18</v>
      </c>
      <c r="L1217" s="1076"/>
      <c r="M1217" s="1215"/>
      <c r="N1217" s="1215"/>
      <c r="O1217" s="1215"/>
      <c r="P1217" s="1216"/>
    </row>
    <row r="1218" spans="3:20" s="146" customFormat="1" ht="18" customHeight="1" thickBot="1" x14ac:dyDescent="0.3">
      <c r="C1218" s="29"/>
      <c r="D1218" s="30"/>
      <c r="E1218" s="30"/>
      <c r="F1218" s="30"/>
      <c r="G1218" s="1077" t="s">
        <v>346</v>
      </c>
      <c r="H1218" s="1078"/>
      <c r="I1218" s="1078"/>
      <c r="J1218" s="1079"/>
      <c r="K1218" s="1068">
        <f>K1217-K1216</f>
        <v>0</v>
      </c>
      <c r="L1218" s="1069"/>
      <c r="M1218" s="1215"/>
      <c r="N1218" s="1215"/>
      <c r="O1218" s="1215"/>
      <c r="P1218" s="1216"/>
    </row>
    <row r="1219" spans="3:20" s="146" customFormat="1" ht="9.9499999999999993" customHeight="1" thickBot="1" x14ac:dyDescent="0.3">
      <c r="C1219" s="21"/>
      <c r="D1219" s="22"/>
      <c r="E1219" s="22"/>
      <c r="F1219" s="22"/>
      <c r="G1219" s="360"/>
      <c r="H1219" s="360"/>
      <c r="I1219" s="360"/>
      <c r="J1219" s="360"/>
      <c r="K1219" s="361"/>
      <c r="L1219" s="361"/>
      <c r="M1219" s="22"/>
      <c r="N1219" s="22"/>
      <c r="O1219" s="100"/>
      <c r="P1219" s="101"/>
    </row>
    <row r="1220" spans="3:20" s="146" customFormat="1" ht="18" customHeight="1" x14ac:dyDescent="0.25">
      <c r="C1220" s="20" t="s">
        <v>34</v>
      </c>
      <c r="D1220" s="1052" t="s">
        <v>35</v>
      </c>
      <c r="E1220" s="1053"/>
      <c r="F1220" s="1053"/>
      <c r="G1220" s="1053"/>
      <c r="H1220" s="1053"/>
      <c r="I1220" s="1053"/>
      <c r="J1220" s="1053"/>
      <c r="K1220" s="1053"/>
      <c r="L1220" s="1053"/>
      <c r="M1220" s="1054"/>
      <c r="N1220" s="145" t="s">
        <v>0</v>
      </c>
      <c r="O1220" s="1107" t="s">
        <v>4</v>
      </c>
      <c r="P1220" s="1108"/>
    </row>
    <row r="1221" spans="3:20" s="146" customFormat="1" ht="69.95" customHeight="1" thickBot="1" x14ac:dyDescent="0.3">
      <c r="C1221" s="85" t="s">
        <v>217</v>
      </c>
      <c r="D1221" s="1070" t="str">
        <f>VLOOKUP(C1221,'BM DETALHADO'!$B$13:$D$126,2,FALSE)</f>
        <v>AÇO CA-50    D &lt;= 12,5 MM</v>
      </c>
      <c r="E1221" s="1071"/>
      <c r="F1221" s="1071"/>
      <c r="G1221" s="1071"/>
      <c r="H1221" s="1071"/>
      <c r="I1221" s="1071"/>
      <c r="J1221" s="1071"/>
      <c r="K1221" s="1071"/>
      <c r="L1221" s="1071"/>
      <c r="M1221" s="1072"/>
      <c r="N1221" s="19" t="str">
        <f>VLOOKUP(C1221,'BM DETALHADO'!$B$13:$D$126,3,FALSE)</f>
        <v>KG</v>
      </c>
      <c r="O1221" s="1109">
        <f>J1233</f>
        <v>164.65422000000001</v>
      </c>
      <c r="P1221" s="1110"/>
    </row>
    <row r="1222" spans="3:20" s="146" customFormat="1" ht="9.9499999999999993" customHeight="1" x14ac:dyDescent="0.25">
      <c r="C1222" s="77"/>
      <c r="D1222" s="78"/>
      <c r="E1222" s="79"/>
      <c r="F1222" s="79"/>
      <c r="G1222" s="79"/>
      <c r="H1222" s="79"/>
      <c r="I1222" s="79"/>
      <c r="J1222" s="79"/>
      <c r="K1222" s="79"/>
      <c r="L1222" s="79"/>
      <c r="M1222" s="79"/>
      <c r="N1222" s="79"/>
      <c r="O1222" s="91"/>
      <c r="P1222" s="92"/>
    </row>
    <row r="1223" spans="3:20" s="146" customFormat="1" ht="18" customHeight="1" x14ac:dyDescent="0.25">
      <c r="C1223" s="763"/>
      <c r="D1223" s="1211" t="s">
        <v>308</v>
      </c>
      <c r="E1223" s="1031" t="s">
        <v>419</v>
      </c>
      <c r="F1223" s="1031"/>
      <c r="G1223" s="1031"/>
      <c r="H1223" s="447"/>
      <c r="I1223" s="447"/>
      <c r="J1223" s="1211" t="s">
        <v>308</v>
      </c>
      <c r="K1223" s="1031" t="s">
        <v>420</v>
      </c>
      <c r="L1223" s="1031"/>
      <c r="M1223" s="1031"/>
      <c r="N1223" s="269"/>
      <c r="O1223" s="270"/>
      <c r="P1223" s="271"/>
    </row>
    <row r="1224" spans="3:20" s="146" customFormat="1" ht="18" customHeight="1" x14ac:dyDescent="0.25">
      <c r="C1224" s="763"/>
      <c r="D1224" s="1211"/>
      <c r="E1224" s="727" t="s">
        <v>327</v>
      </c>
      <c r="F1224" s="727" t="s">
        <v>421</v>
      </c>
      <c r="G1224" s="706" t="s">
        <v>422</v>
      </c>
      <c r="H1224" s="377"/>
      <c r="I1224" s="377"/>
      <c r="J1224" s="1211"/>
      <c r="K1224" s="727" t="s">
        <v>327</v>
      </c>
      <c r="L1224" s="727" t="s">
        <v>421</v>
      </c>
      <c r="M1224" s="706" t="s">
        <v>422</v>
      </c>
      <c r="N1224" s="730"/>
      <c r="O1224" s="272"/>
      <c r="P1224" s="271"/>
    </row>
    <row r="1225" spans="3:20" s="146" customFormat="1" ht="18" customHeight="1" x14ac:dyDescent="0.25">
      <c r="C1225" s="626"/>
      <c r="D1225" s="728" t="s">
        <v>441</v>
      </c>
      <c r="E1225" s="764">
        <v>25.45</v>
      </c>
      <c r="F1225" s="765">
        <v>0.61699999999999999</v>
      </c>
      <c r="G1225" s="764">
        <f>E1225*F1225</f>
        <v>15.70265</v>
      </c>
      <c r="H1225" s="766"/>
      <c r="I1225" s="377"/>
      <c r="J1225" s="728" t="s">
        <v>441</v>
      </c>
      <c r="K1225" s="764">
        <v>18.47</v>
      </c>
      <c r="L1225" s="765">
        <v>0.96299999999999997</v>
      </c>
      <c r="M1225" s="764">
        <f>K1225*L1225</f>
        <v>17.78661</v>
      </c>
      <c r="N1225" s="269"/>
      <c r="O1225" s="270"/>
      <c r="P1225" s="271"/>
      <c r="S1225" s="215"/>
      <c r="T1225" s="348"/>
    </row>
    <row r="1226" spans="3:20" s="146" customFormat="1" ht="18" customHeight="1" x14ac:dyDescent="0.25">
      <c r="C1226" s="626"/>
      <c r="D1226" s="725" t="s">
        <v>444</v>
      </c>
      <c r="E1226" s="767">
        <v>16.88</v>
      </c>
      <c r="F1226" s="768">
        <v>0.61699999999999999</v>
      </c>
      <c r="G1226" s="767">
        <f t="shared" ref="G1226:G1229" si="8">E1226*F1226</f>
        <v>10.414959999999999</v>
      </c>
      <c r="H1226" s="766"/>
      <c r="I1226" s="377"/>
      <c r="J1226" s="725" t="s">
        <v>444</v>
      </c>
      <c r="K1226" s="767">
        <v>14.21</v>
      </c>
      <c r="L1226" s="768">
        <v>0.96299999999999997</v>
      </c>
      <c r="M1226" s="767">
        <f t="shared" ref="M1226:M1229" si="9">K1226*L1226</f>
        <v>13.684230000000001</v>
      </c>
      <c r="N1226" s="269"/>
      <c r="O1226" s="270"/>
      <c r="P1226" s="271"/>
      <c r="S1226" s="215"/>
      <c r="T1226" s="348"/>
    </row>
    <row r="1227" spans="3:20" s="146" customFormat="1" ht="18" customHeight="1" x14ac:dyDescent="0.25">
      <c r="C1227" s="626"/>
      <c r="D1227" s="725" t="s">
        <v>442</v>
      </c>
      <c r="E1227" s="767">
        <v>27.56</v>
      </c>
      <c r="F1227" s="768">
        <v>0.61699999999999999</v>
      </c>
      <c r="G1227" s="767">
        <f t="shared" si="8"/>
        <v>17.004519999999999</v>
      </c>
      <c r="H1227" s="766"/>
      <c r="I1227" s="377"/>
      <c r="J1227" s="725" t="s">
        <v>442</v>
      </c>
      <c r="K1227" s="767">
        <v>19.23</v>
      </c>
      <c r="L1227" s="768">
        <v>0.96299999999999997</v>
      </c>
      <c r="M1227" s="767">
        <f t="shared" si="9"/>
        <v>18.51849</v>
      </c>
      <c r="N1227" s="269"/>
      <c r="O1227" s="269"/>
      <c r="P1227" s="271"/>
      <c r="S1227" s="215"/>
      <c r="T1227" s="348"/>
    </row>
    <row r="1228" spans="3:20" s="146" customFormat="1" ht="18" customHeight="1" x14ac:dyDescent="0.25">
      <c r="C1228" s="715"/>
      <c r="D1228" s="725" t="s">
        <v>443</v>
      </c>
      <c r="E1228" s="767">
        <v>28.12</v>
      </c>
      <c r="F1228" s="768">
        <v>0.61699999999999999</v>
      </c>
      <c r="G1228" s="767">
        <f t="shared" si="8"/>
        <v>17.35004</v>
      </c>
      <c r="H1228" s="377"/>
      <c r="I1228" s="377"/>
      <c r="J1228" s="725" t="s">
        <v>443</v>
      </c>
      <c r="K1228" s="767">
        <v>21.15</v>
      </c>
      <c r="L1228" s="768">
        <v>0.96299999999999997</v>
      </c>
      <c r="M1228" s="767">
        <f t="shared" si="9"/>
        <v>20.367449999999998</v>
      </c>
      <c r="N1228" s="269"/>
      <c r="O1228" s="269"/>
      <c r="P1228" s="271"/>
      <c r="S1228" s="215"/>
      <c r="T1228" s="348"/>
    </row>
    <row r="1229" spans="3:20" s="146" customFormat="1" ht="18" customHeight="1" x14ac:dyDescent="0.25">
      <c r="C1229" s="715"/>
      <c r="D1229" s="725" t="s">
        <v>445</v>
      </c>
      <c r="E1229" s="767">
        <v>25.62</v>
      </c>
      <c r="F1229" s="768">
        <v>0.61699999999999999</v>
      </c>
      <c r="G1229" s="767">
        <f t="shared" si="8"/>
        <v>15.807540000000001</v>
      </c>
      <c r="H1229" s="377"/>
      <c r="I1229" s="377"/>
      <c r="J1229" s="725" t="s">
        <v>445</v>
      </c>
      <c r="K1229" s="767">
        <v>18.71</v>
      </c>
      <c r="L1229" s="768">
        <v>0.96299999999999997</v>
      </c>
      <c r="M1229" s="767">
        <f t="shared" si="9"/>
        <v>18.01773</v>
      </c>
      <c r="N1229" s="269"/>
      <c r="O1229" s="269"/>
      <c r="P1229" s="271"/>
      <c r="S1229" s="215"/>
      <c r="T1229" s="348"/>
    </row>
    <row r="1230" spans="3:20" s="146" customFormat="1" ht="18" customHeight="1" x14ac:dyDescent="0.25">
      <c r="C1230" s="715"/>
      <c r="D1230" s="771"/>
      <c r="E1230" s="769"/>
      <c r="F1230" s="770"/>
      <c r="G1230" s="769"/>
      <c r="H1230" s="456"/>
      <c r="I1230" s="456"/>
      <c r="J1230" s="771"/>
      <c r="K1230" s="769"/>
      <c r="L1230" s="770"/>
      <c r="M1230" s="769"/>
      <c r="N1230" s="730"/>
      <c r="O1230" s="272"/>
      <c r="P1230" s="271"/>
      <c r="S1230" s="263"/>
      <c r="T1230" s="348"/>
    </row>
    <row r="1231" spans="3:20" s="146" customFormat="1" ht="18" customHeight="1" x14ac:dyDescent="0.25">
      <c r="C1231" s="662"/>
      <c r="D1231" s="1199" t="s">
        <v>416</v>
      </c>
      <c r="E1231" s="1200"/>
      <c r="F1231" s="1201"/>
      <c r="G1231" s="472">
        <f>SUM(G1225:G1230)</f>
        <v>76.279709999999994</v>
      </c>
      <c r="H1231" s="447"/>
      <c r="I1231" s="447"/>
      <c r="J1231" s="1199" t="s">
        <v>417</v>
      </c>
      <c r="K1231" s="1200"/>
      <c r="L1231" s="1201"/>
      <c r="M1231" s="472">
        <f>SUM(M1225:M1230)</f>
        <v>88.374510000000001</v>
      </c>
      <c r="N1231" s="269"/>
      <c r="O1231" s="270"/>
      <c r="P1231" s="271"/>
    </row>
    <row r="1232" spans="3:20" s="146" customFormat="1" ht="18" customHeight="1" x14ac:dyDescent="0.25">
      <c r="C1232" s="268"/>
      <c r="D1232" s="267"/>
      <c r="E1232" s="267"/>
      <c r="F1232" s="211"/>
      <c r="G1232" s="211"/>
      <c r="H1232" s="211"/>
      <c r="I1232" s="263"/>
      <c r="J1232" s="263"/>
      <c r="K1232" s="263"/>
      <c r="L1232" s="705"/>
      <c r="M1232" s="276"/>
      <c r="N1232" s="705"/>
      <c r="O1232" s="274"/>
      <c r="P1232" s="271"/>
    </row>
    <row r="1233" spans="2:16" s="146" customFormat="1" ht="18" customHeight="1" x14ac:dyDescent="0.25">
      <c r="C1233" s="300"/>
      <c r="D1233" s="211"/>
      <c r="E1233" s="211"/>
      <c r="F1233" s="1374" t="s">
        <v>418</v>
      </c>
      <c r="G1233" s="1374"/>
      <c r="H1233" s="1374" t="s">
        <v>290</v>
      </c>
      <c r="I1233" s="1374"/>
      <c r="J1233" s="1375">
        <f>G1231+M1231</f>
        <v>164.65422000000001</v>
      </c>
      <c r="K1233" s="1375"/>
      <c r="L1233" s="182"/>
      <c r="M1233" s="182"/>
      <c r="N1233" s="182"/>
      <c r="O1233" s="265"/>
      <c r="P1233" s="266"/>
    </row>
    <row r="1234" spans="2:16" s="146" customFormat="1" ht="36" customHeight="1" thickBot="1" x14ac:dyDescent="0.3">
      <c r="C1234" s="80"/>
      <c r="D1234" s="81"/>
      <c r="E1234" s="81"/>
      <c r="F1234" s="81"/>
      <c r="G1234" s="81"/>
      <c r="H1234" s="81"/>
      <c r="I1234" s="81"/>
      <c r="J1234" s="81"/>
      <c r="K1234" s="81"/>
      <c r="L1234" s="81"/>
      <c r="M1234" s="81"/>
      <c r="N1234" s="81"/>
      <c r="O1234" s="96"/>
      <c r="P1234" s="97"/>
    </row>
    <row r="1235" spans="2:16" s="146" customFormat="1" ht="18" customHeight="1" x14ac:dyDescent="0.25">
      <c r="B1235" s="31" t="s">
        <v>34</v>
      </c>
      <c r="C1235" s="29"/>
      <c r="E1235" s="30"/>
      <c r="F1235" s="30"/>
      <c r="G1235" s="1041" t="s">
        <v>343</v>
      </c>
      <c r="H1235" s="1042"/>
      <c r="I1235" s="1042"/>
      <c r="J1235" s="1043"/>
      <c r="K1235" s="1085">
        <f>'[25]MEMÓRIA DE CÁLCULO'!$K$1312</f>
        <v>646.92999999999995</v>
      </c>
      <c r="L1235" s="1086"/>
      <c r="M1235" s="18"/>
      <c r="N1235" s="18"/>
      <c r="O1235" s="98"/>
      <c r="P1235" s="99"/>
    </row>
    <row r="1236" spans="2:16" s="146" customFormat="1" ht="18" customHeight="1" x14ac:dyDescent="0.25">
      <c r="B1236" s="31" t="str">
        <f>C1221</f>
        <v>5.3</v>
      </c>
      <c r="C1236" s="29"/>
      <c r="E1236" s="30"/>
      <c r="F1236" s="30"/>
      <c r="G1236" s="1082" t="s">
        <v>344</v>
      </c>
      <c r="H1236" s="1083"/>
      <c r="I1236" s="1083"/>
      <c r="J1236" s="1084"/>
      <c r="K1236" s="1075">
        <f>K1235+O1221</f>
        <v>811.58421999999996</v>
      </c>
      <c r="L1236" s="1076"/>
      <c r="M1236" s="18"/>
      <c r="N1236" s="18"/>
      <c r="O1236" s="98"/>
      <c r="P1236" s="99"/>
    </row>
    <row r="1237" spans="2:16" s="146" customFormat="1" ht="18" customHeight="1" x14ac:dyDescent="0.25">
      <c r="C1237" s="29"/>
      <c r="D1237" s="30"/>
      <c r="E1237" s="30"/>
      <c r="F1237" s="30"/>
      <c r="G1237" s="1082" t="s">
        <v>345</v>
      </c>
      <c r="H1237" s="1083"/>
      <c r="I1237" s="1083"/>
      <c r="J1237" s="1084"/>
      <c r="K1237" s="1075">
        <f>VLOOKUP(C1221,'[26]BM DETALHADO'!$B$13:$E$126,4,FALSE)</f>
        <v>1400</v>
      </c>
      <c r="L1237" s="1076"/>
      <c r="M1237" s="18"/>
      <c r="N1237" s="18"/>
      <c r="O1237" s="98"/>
      <c r="P1237" s="99"/>
    </row>
    <row r="1238" spans="2:16" s="146" customFormat="1" ht="18" customHeight="1" thickBot="1" x14ac:dyDescent="0.3">
      <c r="C1238" s="29"/>
      <c r="D1238" s="30"/>
      <c r="E1238" s="30"/>
      <c r="F1238" s="30"/>
      <c r="G1238" s="1077" t="s">
        <v>346</v>
      </c>
      <c r="H1238" s="1078"/>
      <c r="I1238" s="1078"/>
      <c r="J1238" s="1079"/>
      <c r="K1238" s="1068">
        <f>K1237-K1236</f>
        <v>588.41578000000004</v>
      </c>
      <c r="L1238" s="1069"/>
      <c r="M1238" s="18"/>
      <c r="N1238" s="18"/>
      <c r="O1238" s="98"/>
      <c r="P1238" s="99"/>
    </row>
    <row r="1239" spans="2:16" s="146" customFormat="1" ht="9.9499999999999993" customHeight="1" thickBot="1" x14ac:dyDescent="0.3">
      <c r="C1239" s="21"/>
      <c r="D1239" s="22"/>
      <c r="E1239" s="22"/>
      <c r="F1239" s="22"/>
      <c r="G1239" s="27"/>
      <c r="H1239" s="27"/>
      <c r="I1239" s="27"/>
      <c r="J1239" s="27"/>
      <c r="K1239" s="28"/>
      <c r="L1239" s="28"/>
      <c r="M1239" s="22"/>
      <c r="N1239" s="22"/>
      <c r="O1239" s="100"/>
      <c r="P1239" s="101"/>
    </row>
    <row r="1240" spans="2:16" s="146" customFormat="1" ht="18" customHeight="1" x14ac:dyDescent="0.25">
      <c r="C1240" s="20" t="s">
        <v>34</v>
      </c>
      <c r="D1240" s="1052" t="s">
        <v>35</v>
      </c>
      <c r="E1240" s="1053"/>
      <c r="F1240" s="1053"/>
      <c r="G1240" s="1053"/>
      <c r="H1240" s="1053"/>
      <c r="I1240" s="1053"/>
      <c r="J1240" s="1053"/>
      <c r="K1240" s="1053"/>
      <c r="L1240" s="1053"/>
      <c r="M1240" s="1054"/>
      <c r="N1240" s="145" t="s">
        <v>0</v>
      </c>
      <c r="O1240" s="1107" t="s">
        <v>4</v>
      </c>
      <c r="P1240" s="1108"/>
    </row>
    <row r="1241" spans="2:16" s="146" customFormat="1" ht="69.95" customHeight="1" thickBot="1" x14ac:dyDescent="0.3">
      <c r="C1241" s="85" t="s">
        <v>218</v>
      </c>
      <c r="D1241" s="1070" t="str">
        <f>VLOOKUP(C1241,'BM DETALHADO'!$B$13:$D$126,2,FALSE)</f>
        <v>FCK &gt;= 25,0 MPa, BRITA CALCAREA</v>
      </c>
      <c r="E1241" s="1071"/>
      <c r="F1241" s="1071"/>
      <c r="G1241" s="1071"/>
      <c r="H1241" s="1071"/>
      <c r="I1241" s="1071"/>
      <c r="J1241" s="1071"/>
      <c r="K1241" s="1071"/>
      <c r="L1241" s="1071"/>
      <c r="M1241" s="1072"/>
      <c r="N1241" s="19" t="str">
        <f>VLOOKUP(C1241,'BM DETALHADO'!$B$13:$D$126,3,FALSE)</f>
        <v>M3</v>
      </c>
      <c r="O1241" s="1109"/>
      <c r="P1241" s="1110"/>
    </row>
    <row r="1242" spans="2:16" s="146" customFormat="1" ht="9.9499999999999993" customHeight="1" x14ac:dyDescent="0.25">
      <c r="C1242" s="77"/>
      <c r="D1242" s="78"/>
      <c r="E1242" s="79"/>
      <c r="F1242" s="79"/>
      <c r="G1242" s="79"/>
      <c r="H1242" s="79"/>
      <c r="I1242" s="79"/>
      <c r="J1242" s="79"/>
      <c r="K1242" s="79"/>
      <c r="L1242" s="79"/>
      <c r="M1242" s="79"/>
      <c r="N1242" s="79"/>
      <c r="O1242" s="91"/>
      <c r="P1242" s="92"/>
    </row>
    <row r="1243" spans="2:16" s="146" customFormat="1" ht="18" customHeight="1" x14ac:dyDescent="0.25">
      <c r="C1243" s="301"/>
      <c r="D1243" s="1171" t="s">
        <v>414</v>
      </c>
      <c r="E1243" s="1171"/>
      <c r="F1243" s="1171"/>
      <c r="G1243" s="1171"/>
      <c r="H1243" s="1171"/>
      <c r="I1243" s="448"/>
      <c r="J1243" s="1171" t="s">
        <v>415</v>
      </c>
      <c r="K1243" s="1171"/>
      <c r="L1243" s="1171"/>
      <c r="M1243" s="1171"/>
      <c r="N1243" s="1171"/>
      <c r="O1243" s="219"/>
      <c r="P1243" s="93"/>
    </row>
    <row r="1244" spans="2:16" s="146" customFormat="1" ht="18" customHeight="1" x14ac:dyDescent="0.25">
      <c r="C1244" s="268"/>
      <c r="D1244" s="727" t="s">
        <v>349</v>
      </c>
      <c r="E1244" s="727" t="s">
        <v>327</v>
      </c>
      <c r="F1244" s="727" t="s">
        <v>339</v>
      </c>
      <c r="G1244" s="727" t="s">
        <v>328</v>
      </c>
      <c r="H1244" s="424" t="s">
        <v>329</v>
      </c>
      <c r="I1244" s="735"/>
      <c r="J1244" s="727" t="s">
        <v>349</v>
      </c>
      <c r="K1244" s="727" t="s">
        <v>327</v>
      </c>
      <c r="L1244" s="727" t="s">
        <v>339</v>
      </c>
      <c r="M1244" s="727" t="s">
        <v>328</v>
      </c>
      <c r="N1244" s="424" t="s">
        <v>329</v>
      </c>
      <c r="O1244" s="708"/>
      <c r="P1244" s="271"/>
    </row>
    <row r="1245" spans="2:16" s="146" customFormat="1" ht="18" customHeight="1" x14ac:dyDescent="0.25">
      <c r="C1245" s="268"/>
      <c r="D1245" s="729" t="s">
        <v>441</v>
      </c>
      <c r="E1245" s="752">
        <v>1</v>
      </c>
      <c r="F1245" s="752">
        <v>1</v>
      </c>
      <c r="G1245" s="752">
        <v>0.4</v>
      </c>
      <c r="H1245" s="761">
        <f>E1245*F1245*G1245</f>
        <v>0.4</v>
      </c>
      <c r="I1245" s="735"/>
      <c r="J1245" s="871" t="s">
        <v>441</v>
      </c>
      <c r="K1245" s="752">
        <v>0.3</v>
      </c>
      <c r="L1245" s="752">
        <v>0.3</v>
      </c>
      <c r="M1245" s="752">
        <f>2.5-0.4</f>
        <v>2.1</v>
      </c>
      <c r="N1245" s="761">
        <f t="shared" ref="N1245:N1249" si="10">K1245*L1245*M1245</f>
        <v>0.189</v>
      </c>
      <c r="O1245" s="708"/>
      <c r="P1245" s="271"/>
    </row>
    <row r="1246" spans="2:16" s="146" customFormat="1" ht="18" customHeight="1" x14ac:dyDescent="0.25">
      <c r="C1246" s="268"/>
      <c r="D1246" s="726" t="s">
        <v>444</v>
      </c>
      <c r="E1246" s="753">
        <v>1</v>
      </c>
      <c r="F1246" s="753">
        <v>1</v>
      </c>
      <c r="G1246" s="753">
        <v>0.4</v>
      </c>
      <c r="H1246" s="762">
        <f t="shared" ref="H1246:H1249" si="11">E1246*F1246*G1246</f>
        <v>0.4</v>
      </c>
      <c r="I1246" s="735"/>
      <c r="J1246" s="870" t="s">
        <v>444</v>
      </c>
      <c r="K1246" s="753">
        <v>0.3</v>
      </c>
      <c r="L1246" s="753">
        <v>0.3</v>
      </c>
      <c r="M1246" s="753">
        <f>1.8-0.4</f>
        <v>1.4</v>
      </c>
      <c r="N1246" s="762">
        <f t="shared" si="10"/>
        <v>0.126</v>
      </c>
      <c r="O1246" s="708"/>
      <c r="P1246" s="271"/>
    </row>
    <row r="1247" spans="2:16" s="146" customFormat="1" ht="18" customHeight="1" x14ac:dyDescent="0.25">
      <c r="C1247" s="268"/>
      <c r="D1247" s="726" t="s">
        <v>442</v>
      </c>
      <c r="E1247" s="753">
        <v>1</v>
      </c>
      <c r="F1247" s="753">
        <v>1</v>
      </c>
      <c r="G1247" s="753">
        <v>0.4</v>
      </c>
      <c r="H1247" s="762">
        <f t="shared" si="11"/>
        <v>0.4</v>
      </c>
      <c r="I1247" s="735"/>
      <c r="J1247" s="870" t="s">
        <v>442</v>
      </c>
      <c r="K1247" s="753">
        <v>0.3</v>
      </c>
      <c r="L1247" s="753">
        <v>0.3</v>
      </c>
      <c r="M1247" s="753">
        <f>2.6-0.4</f>
        <v>2.2000000000000002</v>
      </c>
      <c r="N1247" s="762">
        <f t="shared" si="10"/>
        <v>0.19800000000000001</v>
      </c>
      <c r="O1247" s="708"/>
      <c r="P1247" s="271"/>
    </row>
    <row r="1248" spans="2:16" s="146" customFormat="1" ht="18" customHeight="1" x14ac:dyDescent="0.25">
      <c r="C1248" s="268"/>
      <c r="D1248" s="726" t="s">
        <v>443</v>
      </c>
      <c r="E1248" s="753">
        <v>1</v>
      </c>
      <c r="F1248" s="753">
        <v>1</v>
      </c>
      <c r="G1248" s="753">
        <v>0.4</v>
      </c>
      <c r="H1248" s="762">
        <f t="shared" si="11"/>
        <v>0.4</v>
      </c>
      <c r="I1248" s="735"/>
      <c r="J1248" s="870" t="s">
        <v>443</v>
      </c>
      <c r="K1248" s="753">
        <v>0.3</v>
      </c>
      <c r="L1248" s="753">
        <v>0.3</v>
      </c>
      <c r="M1248" s="753">
        <f>2.8-0.4</f>
        <v>2.4</v>
      </c>
      <c r="N1248" s="762">
        <f t="shared" si="10"/>
        <v>0.216</v>
      </c>
      <c r="O1248" s="708"/>
      <c r="P1248" s="271"/>
    </row>
    <row r="1249" spans="2:19" s="146" customFormat="1" ht="18" customHeight="1" x14ac:dyDescent="0.25">
      <c r="C1249" s="268"/>
      <c r="D1249" s="1050" t="s">
        <v>445</v>
      </c>
      <c r="E1249" s="1046">
        <v>1</v>
      </c>
      <c r="F1249" s="1046">
        <v>1</v>
      </c>
      <c r="G1249" s="1046">
        <v>0.4</v>
      </c>
      <c r="H1249" s="1048">
        <f t="shared" si="11"/>
        <v>0.4</v>
      </c>
      <c r="I1249" s="735"/>
      <c r="J1249" s="1050" t="s">
        <v>445</v>
      </c>
      <c r="K1249" s="1046">
        <v>0.3</v>
      </c>
      <c r="L1249" s="1046">
        <v>0.3</v>
      </c>
      <c r="M1249" s="1046">
        <f>2.55-0.4</f>
        <v>2.15</v>
      </c>
      <c r="N1249" s="1048">
        <f t="shared" si="10"/>
        <v>0.19349999999999998</v>
      </c>
      <c r="O1249" s="708"/>
      <c r="P1249" s="271"/>
    </row>
    <row r="1250" spans="2:19" s="611" customFormat="1" ht="18" customHeight="1" x14ac:dyDescent="0.25">
      <c r="C1250" s="268"/>
      <c r="D1250" s="1051"/>
      <c r="E1250" s="1047"/>
      <c r="F1250" s="1047"/>
      <c r="G1250" s="1047"/>
      <c r="H1250" s="1049"/>
      <c r="I1250" s="735"/>
      <c r="J1250" s="1051"/>
      <c r="K1250" s="1047"/>
      <c r="L1250" s="1047"/>
      <c r="M1250" s="1047"/>
      <c r="N1250" s="1049"/>
      <c r="O1250" s="819"/>
      <c r="P1250" s="271"/>
    </row>
    <row r="1251" spans="2:19" s="146" customFormat="1" ht="18" customHeight="1" x14ac:dyDescent="0.25">
      <c r="C1251" s="268"/>
      <c r="D1251" s="1031" t="s">
        <v>416</v>
      </c>
      <c r="E1251" s="1031"/>
      <c r="F1251" s="1031"/>
      <c r="G1251" s="1031"/>
      <c r="H1251" s="625">
        <f>SUM(H1245:H1250)</f>
        <v>2</v>
      </c>
      <c r="I1251" s="708"/>
      <c r="J1251" s="1031" t="s">
        <v>417</v>
      </c>
      <c r="K1251" s="1031"/>
      <c r="L1251" s="1031"/>
      <c r="M1251" s="1031"/>
      <c r="N1251" s="625">
        <f>SUM(N1245:N1250)</f>
        <v>0.92249999999999999</v>
      </c>
      <c r="O1251" s="708"/>
      <c r="P1251" s="271"/>
    </row>
    <row r="1252" spans="2:19" s="611" customFormat="1" ht="18" customHeight="1" x14ac:dyDescent="0.25">
      <c r="C1252" s="268"/>
      <c r="D1252" s="219"/>
      <c r="E1252" s="219"/>
      <c r="F1252" s="219"/>
      <c r="G1252" s="219"/>
      <c r="H1252" s="702"/>
      <c r="I1252" s="708"/>
      <c r="J1252" s="299"/>
      <c r="K1252" s="299"/>
      <c r="L1252" s="299"/>
      <c r="M1252" s="299"/>
      <c r="N1252" s="702"/>
      <c r="O1252" s="708"/>
      <c r="P1252" s="271"/>
    </row>
    <row r="1253" spans="2:19" s="526" customFormat="1" ht="18" customHeight="1" x14ac:dyDescent="0.25">
      <c r="C1253" s="268"/>
      <c r="D1253" s="540"/>
      <c r="E1253" s="540"/>
      <c r="F1253" s="1211" t="s">
        <v>418</v>
      </c>
      <c r="G1253" s="1211"/>
      <c r="H1253" s="1211"/>
      <c r="I1253" s="760" t="s">
        <v>290</v>
      </c>
      <c r="J1253" s="1212">
        <f>H1251+N1251</f>
        <v>2.9224999999999999</v>
      </c>
      <c r="K1253" s="1211"/>
      <c r="L1253" s="1211"/>
      <c r="M1253" s="540"/>
      <c r="N1253" s="540"/>
      <c r="O1253" s="708"/>
      <c r="P1253" s="271"/>
    </row>
    <row r="1254" spans="2:19" s="526" customFormat="1" ht="18" customHeight="1" x14ac:dyDescent="0.25">
      <c r="C1254" s="268"/>
      <c r="D1254" s="267"/>
      <c r="E1254" s="267"/>
      <c r="F1254" s="263"/>
      <c r="G1254" s="708"/>
      <c r="H1254" s="263"/>
      <c r="I1254" s="708"/>
      <c r="J1254" s="263"/>
      <c r="K1254" s="267"/>
      <c r="L1254" s="267"/>
      <c r="M1254" s="263"/>
      <c r="N1254" s="708"/>
      <c r="O1254" s="708"/>
      <c r="P1254" s="271"/>
    </row>
    <row r="1255" spans="2:19" s="526" customFormat="1" ht="18" customHeight="1" x14ac:dyDescent="0.25">
      <c r="C1255" s="268"/>
      <c r="D1255" s="267"/>
      <c r="E1255" s="267"/>
      <c r="F1255" s="263"/>
      <c r="G1255" s="708"/>
      <c r="H1255" s="263"/>
      <c r="I1255" s="708"/>
      <c r="J1255" s="263"/>
      <c r="K1255" s="267"/>
      <c r="L1255" s="267"/>
      <c r="M1255" s="263"/>
      <c r="N1255" s="708"/>
      <c r="O1255" s="708"/>
      <c r="P1255" s="271"/>
    </row>
    <row r="1256" spans="2:19" s="146" customFormat="1" ht="18" customHeight="1" x14ac:dyDescent="0.25">
      <c r="C1256" s="237"/>
      <c r="D1256" s="219"/>
      <c r="E1256" s="219"/>
      <c r="F1256" s="219"/>
      <c r="G1256" s="219"/>
      <c r="H1256" s="299"/>
      <c r="I1256" s="701"/>
      <c r="J1256" s="701"/>
      <c r="K1256" s="219"/>
      <c r="L1256" s="219"/>
      <c r="M1256" s="219"/>
      <c r="N1256" s="219"/>
      <c r="O1256" s="712"/>
      <c r="P1256" s="271"/>
    </row>
    <row r="1257" spans="2:19" s="146" customFormat="1" ht="18" customHeight="1" x14ac:dyDescent="0.25">
      <c r="C1257" s="300"/>
      <c r="D1257" s="182"/>
      <c r="E1257" s="182"/>
      <c r="F1257" s="182"/>
      <c r="G1257" s="182"/>
      <c r="H1257" s="182"/>
      <c r="I1257" s="182"/>
      <c r="J1257" s="700"/>
      <c r="K1257" s="208"/>
      <c r="L1257" s="700"/>
      <c r="M1257" s="1392" t="s">
        <v>459</v>
      </c>
      <c r="N1257" s="1392"/>
      <c r="O1257" s="1392"/>
      <c r="P1257" s="1393"/>
    </row>
    <row r="1258" spans="2:19" s="146" customFormat="1" ht="18" customHeight="1" x14ac:dyDescent="0.25">
      <c r="C1258" s="80"/>
      <c r="D1258" s="275"/>
      <c r="E1258" s="275"/>
      <c r="F1258" s="275"/>
      <c r="G1258" s="275"/>
      <c r="H1258" s="217"/>
      <c r="I1258" s="217"/>
      <c r="J1258" s="217"/>
      <c r="K1258" s="351"/>
      <c r="L1258" s="225"/>
      <c r="M1258" s="1392"/>
      <c r="N1258" s="1392"/>
      <c r="O1258" s="1392"/>
      <c r="P1258" s="1393"/>
    </row>
    <row r="1259" spans="2:19" s="146" customFormat="1" ht="9.9499999999999993" customHeight="1" thickBot="1" x14ac:dyDescent="0.3">
      <c r="C1259" s="80"/>
      <c r="D1259" s="267"/>
      <c r="E1259" s="267"/>
      <c r="F1259" s="267"/>
      <c r="G1259" s="267"/>
      <c r="H1259" s="267"/>
      <c r="I1259" s="267"/>
      <c r="J1259" s="267"/>
      <c r="K1259" s="267"/>
      <c r="L1259" s="267"/>
      <c r="M1259" s="1392"/>
      <c r="N1259" s="1392"/>
      <c r="O1259" s="1392"/>
      <c r="P1259" s="1393"/>
    </row>
    <row r="1260" spans="2:19" s="146" customFormat="1" ht="18" customHeight="1" x14ac:dyDescent="0.25">
      <c r="B1260" s="31" t="str">
        <f>C1241</f>
        <v>5.4</v>
      </c>
      <c r="C1260" s="29"/>
      <c r="E1260" s="30"/>
      <c r="F1260" s="30"/>
      <c r="G1260" s="1041" t="s">
        <v>343</v>
      </c>
      <c r="H1260" s="1042"/>
      <c r="I1260" s="1042"/>
      <c r="J1260" s="1043"/>
      <c r="K1260" s="1085">
        <f>'[25]MEMÓRIA DE CÁLCULO'!$K$1336</f>
        <v>14</v>
      </c>
      <c r="L1260" s="1086"/>
      <c r="M1260" s="1392"/>
      <c r="N1260" s="1392"/>
      <c r="O1260" s="1392"/>
      <c r="P1260" s="1393"/>
      <c r="S1260" s="772"/>
    </row>
    <row r="1261" spans="2:19" s="146" customFormat="1" ht="18" customHeight="1" x14ac:dyDescent="0.25">
      <c r="C1261" s="29"/>
      <c r="D1261" s="30"/>
      <c r="E1261" s="30"/>
      <c r="F1261" s="30"/>
      <c r="G1261" s="1082" t="s">
        <v>344</v>
      </c>
      <c r="H1261" s="1083"/>
      <c r="I1261" s="1083"/>
      <c r="J1261" s="1084"/>
      <c r="K1261" s="1075">
        <f>K1260+O1241</f>
        <v>14</v>
      </c>
      <c r="L1261" s="1076"/>
      <c r="M1261" s="1392"/>
      <c r="N1261" s="1392"/>
      <c r="O1261" s="1392"/>
      <c r="P1261" s="1393"/>
    </row>
    <row r="1262" spans="2:19" s="146" customFormat="1" ht="18" customHeight="1" x14ac:dyDescent="0.25">
      <c r="C1262" s="29"/>
      <c r="D1262" s="30"/>
      <c r="E1262" s="30"/>
      <c r="F1262" s="30"/>
      <c r="G1262" s="1082" t="s">
        <v>345</v>
      </c>
      <c r="H1262" s="1083"/>
      <c r="I1262" s="1083"/>
      <c r="J1262" s="1084"/>
      <c r="K1262" s="1075">
        <f>VLOOKUP(C1241,'[26]BM DETALHADO'!$B$13:$E$126,4,FALSE)</f>
        <v>14</v>
      </c>
      <c r="L1262" s="1076"/>
      <c r="M1262" s="1392"/>
      <c r="N1262" s="1392"/>
      <c r="O1262" s="1392"/>
      <c r="P1262" s="1393"/>
    </row>
    <row r="1263" spans="2:19" s="146" customFormat="1" ht="18" customHeight="1" thickBot="1" x14ac:dyDescent="0.3">
      <c r="C1263" s="29"/>
      <c r="D1263" s="30"/>
      <c r="E1263" s="30"/>
      <c r="F1263" s="30"/>
      <c r="G1263" s="1077" t="s">
        <v>346</v>
      </c>
      <c r="H1263" s="1078"/>
      <c r="I1263" s="1078"/>
      <c r="J1263" s="1079"/>
      <c r="K1263" s="1068">
        <f>K1262-K1261</f>
        <v>0</v>
      </c>
      <c r="L1263" s="1069"/>
      <c r="M1263" s="1392"/>
      <c r="N1263" s="1392"/>
      <c r="O1263" s="1392"/>
      <c r="P1263" s="1393"/>
    </row>
    <row r="1264" spans="2:19" s="146" customFormat="1" ht="9.9499999999999993" customHeight="1" thickBot="1" x14ac:dyDescent="0.3">
      <c r="C1264" s="21"/>
      <c r="D1264" s="22"/>
      <c r="E1264" s="22"/>
      <c r="F1264" s="22"/>
      <c r="G1264" s="360"/>
      <c r="H1264" s="360"/>
      <c r="I1264" s="360"/>
      <c r="J1264" s="360"/>
      <c r="K1264" s="361"/>
      <c r="L1264" s="361"/>
      <c r="M1264" s="1394"/>
      <c r="N1264" s="1394"/>
      <c r="O1264" s="1394"/>
      <c r="P1264" s="1395"/>
    </row>
    <row r="1265" spans="2:16" s="146" customFormat="1" ht="18" customHeight="1" x14ac:dyDescent="0.25">
      <c r="C1265" s="20" t="s">
        <v>34</v>
      </c>
      <c r="D1265" s="1052" t="s">
        <v>35</v>
      </c>
      <c r="E1265" s="1053"/>
      <c r="F1265" s="1053"/>
      <c r="G1265" s="1053"/>
      <c r="H1265" s="1053"/>
      <c r="I1265" s="1053"/>
      <c r="J1265" s="1053"/>
      <c r="K1265" s="1053"/>
      <c r="L1265" s="1053"/>
      <c r="M1265" s="1054"/>
      <c r="N1265" s="145" t="s">
        <v>0</v>
      </c>
      <c r="O1265" s="1107" t="s">
        <v>4</v>
      </c>
      <c r="P1265" s="1108"/>
    </row>
    <row r="1266" spans="2:16" s="146" customFormat="1" ht="69.95" customHeight="1" thickBot="1" x14ac:dyDescent="0.3">
      <c r="C1266" s="85" t="s">
        <v>219</v>
      </c>
      <c r="D1266" s="1070" t="str">
        <f>VLOOKUP(C1266,'BM DETALHADO'!$B$13:$D$126,2,FALSE)</f>
        <v>ADITIVO IMPERMEABILIZANTE DE PEGA NORMAL PARA ARGAMASSAS E CONCRETOS SEM ARMACAO, LIQUIDO E ISENTO DE CLORETOS</v>
      </c>
      <c r="E1266" s="1071"/>
      <c r="F1266" s="1071"/>
      <c r="G1266" s="1071"/>
      <c r="H1266" s="1071"/>
      <c r="I1266" s="1071"/>
      <c r="J1266" s="1071"/>
      <c r="K1266" s="1071"/>
      <c r="L1266" s="1071"/>
      <c r="M1266" s="1072"/>
      <c r="N1266" s="19" t="str">
        <f>VLOOKUP(C1266,'BM DETALHADO'!$B$13:$D$126,3,FALSE)</f>
        <v>L</v>
      </c>
      <c r="O1266" s="1109">
        <f>M1270</f>
        <v>0.30617500000000003</v>
      </c>
      <c r="P1266" s="1187"/>
    </row>
    <row r="1267" spans="2:16" s="146" customFormat="1" ht="9.9499999999999993" customHeight="1" x14ac:dyDescent="0.25">
      <c r="C1267" s="77"/>
      <c r="D1267" s="78"/>
      <c r="E1267" s="79"/>
      <c r="F1267" s="79"/>
      <c r="G1267" s="79"/>
      <c r="H1267" s="79"/>
      <c r="I1267" s="79"/>
      <c r="J1267" s="79"/>
      <c r="K1267" s="79"/>
      <c r="L1267" s="79"/>
      <c r="M1267" s="79"/>
      <c r="N1267" s="79"/>
      <c r="O1267" s="91"/>
      <c r="P1267" s="92"/>
    </row>
    <row r="1268" spans="2:16" s="146" customFormat="1" ht="18" customHeight="1" x14ac:dyDescent="0.25">
      <c r="C1268" s="600"/>
      <c r="D1268" s="1271" t="s">
        <v>423</v>
      </c>
      <c r="E1268" s="1271"/>
      <c r="F1268" s="1271"/>
      <c r="G1268" s="1271"/>
      <c r="H1268" s="703" t="s">
        <v>290</v>
      </c>
      <c r="I1268" s="449">
        <v>0.16550000000000001</v>
      </c>
      <c r="J1268" s="718" t="s">
        <v>424</v>
      </c>
      <c r="K1268" s="731"/>
      <c r="L1268" s="718"/>
      <c r="M1268" s="380"/>
      <c r="N1268" s="380"/>
      <c r="O1268" s="604"/>
      <c r="P1268" s="93"/>
    </row>
    <row r="1269" spans="2:16" s="146" customFormat="1" ht="18" customHeight="1" x14ac:dyDescent="0.25">
      <c r="C1269" s="600"/>
      <c r="D1269" s="430"/>
      <c r="E1269" s="430"/>
      <c r="F1269" s="430"/>
      <c r="G1269" s="430"/>
      <c r="H1269" s="703"/>
      <c r="I1269" s="703"/>
      <c r="J1269" s="703"/>
      <c r="K1269" s="703"/>
      <c r="L1269" s="703"/>
      <c r="M1269" s="703"/>
      <c r="N1269" s="703"/>
      <c r="O1269" s="94"/>
      <c r="P1269" s="93"/>
    </row>
    <row r="1270" spans="2:16" s="146" customFormat="1" ht="18" customHeight="1" x14ac:dyDescent="0.25">
      <c r="C1270" s="202"/>
      <c r="D1270" s="1271" t="s">
        <v>425</v>
      </c>
      <c r="E1270" s="1271"/>
      <c r="F1270" s="1271"/>
      <c r="G1270" s="283"/>
      <c r="H1270" s="703" t="s">
        <v>290</v>
      </c>
      <c r="I1270" s="379">
        <v>1.85</v>
      </c>
      <c r="J1270" s="718" t="s">
        <v>426</v>
      </c>
      <c r="K1270" s="450">
        <f>I1268</f>
        <v>0.16550000000000001</v>
      </c>
      <c r="L1270" s="718" t="s">
        <v>290</v>
      </c>
      <c r="M1270" s="384">
        <f>I1270*K1270</f>
        <v>0.30617500000000003</v>
      </c>
      <c r="N1270" s="389" t="s">
        <v>222</v>
      </c>
      <c r="O1270" s="169"/>
      <c r="P1270" s="93"/>
    </row>
    <row r="1271" spans="2:16" s="611" customFormat="1" ht="18" customHeight="1" x14ac:dyDescent="0.25">
      <c r="C1271" s="202"/>
      <c r="D1271" s="703"/>
      <c r="E1271" s="703"/>
      <c r="F1271" s="703"/>
      <c r="G1271" s="283"/>
      <c r="H1271" s="703"/>
      <c r="I1271" s="379"/>
      <c r="J1271" s="718"/>
      <c r="K1271" s="450"/>
      <c r="L1271" s="718"/>
      <c r="M1271" s="384"/>
      <c r="N1271" s="389"/>
      <c r="O1271" s="169"/>
      <c r="P1271" s="93"/>
    </row>
    <row r="1272" spans="2:16" s="611" customFormat="1" ht="18" customHeight="1" x14ac:dyDescent="0.25">
      <c r="C1272" s="202"/>
      <c r="D1272" s="703"/>
      <c r="E1272" s="703"/>
      <c r="F1272" s="703"/>
      <c r="G1272" s="283"/>
      <c r="H1272" s="703"/>
      <c r="I1272" s="379"/>
      <c r="J1272" s="718"/>
      <c r="K1272" s="450"/>
      <c r="L1272" s="718"/>
      <c r="M1272" s="384"/>
      <c r="N1272" s="389"/>
      <c r="O1272" s="169"/>
      <c r="P1272" s="93"/>
    </row>
    <row r="1273" spans="2:16" s="611" customFormat="1" ht="18" customHeight="1" x14ac:dyDescent="0.25">
      <c r="C1273" s="202"/>
      <c r="D1273" s="703"/>
      <c r="E1273" s="703"/>
      <c r="F1273" s="703"/>
      <c r="G1273" s="283"/>
      <c r="H1273" s="703"/>
      <c r="I1273" s="379"/>
      <c r="J1273" s="718"/>
      <c r="K1273" s="450"/>
      <c r="L1273" s="718"/>
      <c r="M1273" s="384"/>
      <c r="N1273" s="389"/>
      <c r="O1273" s="169"/>
      <c r="P1273" s="93"/>
    </row>
    <row r="1274" spans="2:16" s="611" customFormat="1" ht="18" customHeight="1" x14ac:dyDescent="0.25">
      <c r="C1274" s="202"/>
      <c r="D1274" s="703"/>
      <c r="E1274" s="703"/>
      <c r="F1274" s="703"/>
      <c r="G1274" s="283"/>
      <c r="H1274" s="703"/>
      <c r="I1274" s="379"/>
      <c r="J1274" s="718"/>
      <c r="K1274" s="450"/>
      <c r="L1274" s="718"/>
      <c r="M1274" s="384"/>
      <c r="N1274" s="389"/>
      <c r="O1274" s="169"/>
      <c r="P1274" s="93"/>
    </row>
    <row r="1275" spans="2:16" s="611" customFormat="1" ht="18" customHeight="1" x14ac:dyDescent="0.25">
      <c r="C1275" s="202"/>
      <c r="D1275" s="703"/>
      <c r="E1275" s="703"/>
      <c r="F1275" s="703"/>
      <c r="G1275" s="283"/>
      <c r="H1275" s="703"/>
      <c r="I1275" s="379"/>
      <c r="J1275" s="718"/>
      <c r="K1275" s="450"/>
      <c r="L1275" s="718"/>
      <c r="M1275" s="384"/>
      <c r="N1275" s="389"/>
      <c r="O1275" s="169"/>
      <c r="P1275" s="93"/>
    </row>
    <row r="1276" spans="2:16" s="146" customFormat="1" ht="18" customHeight="1" x14ac:dyDescent="0.25">
      <c r="C1276" s="80"/>
      <c r="D1276" s="535"/>
      <c r="E1276" s="535"/>
      <c r="F1276" s="535"/>
      <c r="G1276" s="535"/>
      <c r="H1276" s="535"/>
      <c r="I1276" s="535"/>
      <c r="J1276" s="535"/>
      <c r="K1276" s="535"/>
      <c r="L1276" s="601"/>
      <c r="M1276" s="536"/>
      <c r="N1276" s="601"/>
      <c r="O1276" s="95"/>
      <c r="P1276" s="93"/>
    </row>
    <row r="1277" spans="2:16" s="611" customFormat="1" ht="18" customHeight="1" x14ac:dyDescent="0.25">
      <c r="C1277" s="80"/>
      <c r="D1277" s="535"/>
      <c r="E1277" s="535"/>
      <c r="F1277" s="535"/>
      <c r="G1277" s="535"/>
      <c r="H1277" s="535"/>
      <c r="I1277" s="535"/>
      <c r="J1277" s="535"/>
      <c r="K1277" s="535"/>
      <c r="L1277" s="704"/>
      <c r="M1277" s="536"/>
      <c r="N1277" s="704"/>
      <c r="O1277" s="95"/>
      <c r="P1277" s="93"/>
    </row>
    <row r="1278" spans="2:16" s="611" customFormat="1" ht="18" customHeight="1" x14ac:dyDescent="0.25">
      <c r="C1278" s="80"/>
      <c r="D1278" s="535"/>
      <c r="E1278" s="535"/>
      <c r="F1278" s="535"/>
      <c r="G1278" s="535"/>
      <c r="H1278" s="535"/>
      <c r="I1278" s="535"/>
      <c r="J1278" s="535"/>
      <c r="K1278" s="535"/>
      <c r="L1278" s="704"/>
      <c r="M1278" s="536"/>
      <c r="N1278" s="704"/>
      <c r="O1278" s="95"/>
      <c r="P1278" s="93"/>
    </row>
    <row r="1279" spans="2:16" s="146" customFormat="1" ht="9.9499999999999993" customHeight="1" thickBot="1" x14ac:dyDescent="0.3">
      <c r="C1279" s="80"/>
      <c r="D1279" s="283"/>
      <c r="E1279" s="283"/>
      <c r="F1279" s="283"/>
      <c r="G1279" s="283"/>
      <c r="H1279" s="283"/>
      <c r="I1279" s="283"/>
      <c r="J1279" s="283"/>
      <c r="K1279" s="283"/>
      <c r="L1279" s="283"/>
      <c r="M1279" s="283"/>
      <c r="N1279" s="283"/>
      <c r="O1279" s="96"/>
      <c r="P1279" s="97"/>
    </row>
    <row r="1280" spans="2:16" s="146" customFormat="1" ht="18" customHeight="1" x14ac:dyDescent="0.25">
      <c r="B1280" s="31" t="s">
        <v>34</v>
      </c>
      <c r="C1280" s="29"/>
      <c r="D1280" s="427"/>
      <c r="E1280" s="408"/>
      <c r="F1280" s="408"/>
      <c r="G1280" s="1041" t="s">
        <v>343</v>
      </c>
      <c r="H1280" s="1042"/>
      <c r="I1280" s="1042"/>
      <c r="J1280" s="1043"/>
      <c r="K1280" s="1085">
        <f>'[27]MEMÓRIA DE CÁLCULO'!$K$1285</f>
        <v>23.105615</v>
      </c>
      <c r="L1280" s="1086"/>
      <c r="M1280" s="171"/>
      <c r="N1280" s="171"/>
      <c r="O1280" s="98"/>
      <c r="P1280" s="99"/>
    </row>
    <row r="1281" spans="2:16" s="146" customFormat="1" ht="18" customHeight="1" x14ac:dyDescent="0.25">
      <c r="B1281" s="31" t="str">
        <f>C1266</f>
        <v>5.5</v>
      </c>
      <c r="C1281" s="29"/>
      <c r="D1281" s="427"/>
      <c r="E1281" s="408"/>
      <c r="F1281" s="408"/>
      <c r="G1281" s="1082" t="s">
        <v>344</v>
      </c>
      <c r="H1281" s="1083"/>
      <c r="I1281" s="1083"/>
      <c r="J1281" s="1084"/>
      <c r="K1281" s="1075">
        <f>K1280+O1266</f>
        <v>23.41179</v>
      </c>
      <c r="L1281" s="1076"/>
      <c r="M1281" s="171"/>
      <c r="N1281" s="171"/>
      <c r="O1281" s="98"/>
      <c r="P1281" s="99"/>
    </row>
    <row r="1282" spans="2:16" s="146" customFormat="1" ht="18" customHeight="1" x14ac:dyDescent="0.25">
      <c r="C1282" s="29"/>
      <c r="D1282" s="408"/>
      <c r="E1282" s="408"/>
      <c r="F1282" s="408"/>
      <c r="G1282" s="1082" t="s">
        <v>345</v>
      </c>
      <c r="H1282" s="1083"/>
      <c r="I1282" s="1083"/>
      <c r="J1282" s="1084"/>
      <c r="K1282" s="1075">
        <f>VLOOKUP(C1266,'[26]BM DETALHADO'!$B$13:$E$126,4,FALSE)</f>
        <v>28</v>
      </c>
      <c r="L1282" s="1076"/>
      <c r="M1282" s="171"/>
      <c r="N1282" s="171"/>
      <c r="O1282" s="98"/>
      <c r="P1282" s="99"/>
    </row>
    <row r="1283" spans="2:16" s="146" customFormat="1" ht="18" customHeight="1" thickBot="1" x14ac:dyDescent="0.3">
      <c r="C1283" s="29"/>
      <c r="D1283" s="408"/>
      <c r="E1283" s="408"/>
      <c r="F1283" s="408"/>
      <c r="G1283" s="1077" t="s">
        <v>346</v>
      </c>
      <c r="H1283" s="1078"/>
      <c r="I1283" s="1078"/>
      <c r="J1283" s="1079"/>
      <c r="K1283" s="1068">
        <f>K1282-K1281</f>
        <v>4.5882100000000001</v>
      </c>
      <c r="L1283" s="1069"/>
      <c r="M1283" s="171"/>
      <c r="N1283" s="171"/>
      <c r="O1283" s="98"/>
      <c r="P1283" s="99"/>
    </row>
    <row r="1284" spans="2:16" s="146" customFormat="1" ht="9.9499999999999993" customHeight="1" thickBot="1" x14ac:dyDescent="0.3">
      <c r="C1284" s="21"/>
      <c r="D1284" s="22"/>
      <c r="E1284" s="22"/>
      <c r="F1284" s="22"/>
      <c r="G1284" s="360"/>
      <c r="H1284" s="360"/>
      <c r="I1284" s="360"/>
      <c r="J1284" s="360"/>
      <c r="K1284" s="361"/>
      <c r="L1284" s="361"/>
      <c r="M1284" s="22"/>
      <c r="N1284" s="22"/>
      <c r="O1284" s="100"/>
      <c r="P1284" s="101"/>
    </row>
    <row r="1285" spans="2:16" s="146" customFormat="1" ht="18" hidden="1" customHeight="1" x14ac:dyDescent="0.25">
      <c r="C1285" s="20" t="s">
        <v>34</v>
      </c>
      <c r="D1285" s="1052" t="s">
        <v>35</v>
      </c>
      <c r="E1285" s="1053"/>
      <c r="F1285" s="1053"/>
      <c r="G1285" s="1053"/>
      <c r="H1285" s="1053"/>
      <c r="I1285" s="1053"/>
      <c r="J1285" s="1053"/>
      <c r="K1285" s="1053"/>
      <c r="L1285" s="1053"/>
      <c r="M1285" s="1054"/>
      <c r="N1285" s="170" t="s">
        <v>0</v>
      </c>
      <c r="O1285" s="1107" t="s">
        <v>4</v>
      </c>
      <c r="P1285" s="1108"/>
    </row>
    <row r="1286" spans="2:16" s="146" customFormat="1" ht="69.95" hidden="1" customHeight="1" thickBot="1" x14ac:dyDescent="0.3">
      <c r="C1286" s="85" t="s">
        <v>219</v>
      </c>
      <c r="D1286" s="1070" t="str">
        <f>'BM DETALHADO'!C94</f>
        <v>MOBILIZAÇÃO E DESMOBILIZAÇÃO POR EQUIPAMENTO DE SONDAGEM A PERCUSSÃO D = 2 1/2"</v>
      </c>
      <c r="E1286" s="1071"/>
      <c r="F1286" s="1071"/>
      <c r="G1286" s="1071"/>
      <c r="H1286" s="1071"/>
      <c r="I1286" s="1071"/>
      <c r="J1286" s="1071"/>
      <c r="K1286" s="1071"/>
      <c r="L1286" s="1071"/>
      <c r="M1286" s="1072"/>
      <c r="N1286" s="19" t="str">
        <f>'BM DETALHADO'!D94</f>
        <v>UNID</v>
      </c>
      <c r="O1286" s="1109"/>
      <c r="P1286" s="1110"/>
    </row>
    <row r="1287" spans="2:16" s="146" customFormat="1" ht="9.9499999999999993" hidden="1" customHeight="1" x14ac:dyDescent="0.25">
      <c r="C1287" s="77"/>
      <c r="D1287" s="78"/>
      <c r="E1287" s="79"/>
      <c r="F1287" s="79"/>
      <c r="G1287" s="79"/>
      <c r="H1287" s="79"/>
      <c r="I1287" s="79"/>
      <c r="J1287" s="79"/>
      <c r="K1287" s="79"/>
      <c r="L1287" s="79"/>
      <c r="M1287" s="79"/>
      <c r="N1287" s="79"/>
      <c r="O1287" s="91"/>
      <c r="P1287" s="92"/>
    </row>
    <row r="1288" spans="2:16" s="146" customFormat="1" ht="18" hidden="1" customHeight="1" x14ac:dyDescent="0.25">
      <c r="C1288" s="336"/>
      <c r="D1288" s="370"/>
      <c r="E1288" s="370"/>
      <c r="F1288" s="370"/>
      <c r="G1288" s="179"/>
      <c r="H1288" s="178"/>
      <c r="I1288" s="176"/>
      <c r="J1288" s="339"/>
      <c r="K1288" s="344"/>
      <c r="L1288" s="339"/>
      <c r="M1288" s="169"/>
      <c r="N1288" s="169"/>
      <c r="O1288" s="343"/>
      <c r="P1288" s="93"/>
    </row>
    <row r="1289" spans="2:16" s="146" customFormat="1" ht="18" hidden="1" customHeight="1" x14ac:dyDescent="0.25">
      <c r="C1289" s="336"/>
      <c r="D1289" s="333"/>
      <c r="E1289" s="333"/>
      <c r="F1289" s="333"/>
      <c r="G1289" s="333"/>
      <c r="H1289" s="330"/>
      <c r="I1289" s="330"/>
      <c r="J1289" s="330"/>
      <c r="K1289" s="330"/>
      <c r="L1289" s="330"/>
      <c r="M1289" s="330"/>
      <c r="N1289" s="330"/>
      <c r="O1289" s="94"/>
      <c r="P1289" s="93"/>
    </row>
    <row r="1290" spans="2:16" s="146" customFormat="1" ht="18" hidden="1" customHeight="1" x14ac:dyDescent="0.25">
      <c r="C1290" s="202"/>
      <c r="D1290" s="81"/>
      <c r="E1290" s="81"/>
      <c r="F1290" s="81"/>
      <c r="G1290" s="81"/>
      <c r="H1290" s="81"/>
      <c r="I1290" s="167"/>
      <c r="J1290" s="168"/>
      <c r="K1290" s="167"/>
      <c r="L1290" s="168"/>
      <c r="M1290" s="169"/>
      <c r="N1290" s="169"/>
      <c r="O1290" s="169"/>
      <c r="P1290" s="93"/>
    </row>
    <row r="1291" spans="2:16" s="146" customFormat="1" ht="18" hidden="1" customHeight="1" x14ac:dyDescent="0.25">
      <c r="C1291" s="202"/>
      <c r="D1291" s="81"/>
      <c r="E1291" s="81"/>
      <c r="F1291" s="81"/>
      <c r="G1291" s="81"/>
      <c r="H1291" s="81"/>
      <c r="I1291" s="167"/>
      <c r="J1291" s="168"/>
      <c r="K1291" s="167"/>
      <c r="L1291" s="168"/>
      <c r="M1291" s="169"/>
      <c r="N1291" s="169"/>
      <c r="O1291" s="169"/>
      <c r="P1291" s="93"/>
    </row>
    <row r="1292" spans="2:16" s="146" customFormat="1" ht="18" hidden="1" customHeight="1" x14ac:dyDescent="0.25">
      <c r="C1292" s="202"/>
      <c r="D1292" s="81"/>
      <c r="E1292" s="81"/>
      <c r="F1292" s="81"/>
      <c r="G1292" s="81"/>
      <c r="H1292" s="81"/>
      <c r="I1292" s="167"/>
      <c r="J1292" s="168"/>
      <c r="K1292" s="167"/>
      <c r="L1292" s="168"/>
      <c r="M1292" s="169"/>
      <c r="N1292" s="169"/>
      <c r="O1292" s="169"/>
      <c r="P1292" s="93"/>
    </row>
    <row r="1293" spans="2:16" s="146" customFormat="1" ht="18" hidden="1" customHeight="1" x14ac:dyDescent="0.25">
      <c r="C1293" s="202"/>
      <c r="D1293" s="81"/>
      <c r="E1293" s="81"/>
      <c r="F1293" s="81"/>
      <c r="G1293" s="81"/>
      <c r="H1293" s="81"/>
      <c r="I1293" s="167"/>
      <c r="J1293" s="168"/>
      <c r="K1293" s="167"/>
      <c r="L1293" s="168"/>
      <c r="M1293" s="169"/>
      <c r="N1293" s="169"/>
      <c r="O1293" s="169"/>
      <c r="P1293" s="93"/>
    </row>
    <row r="1294" spans="2:16" s="146" customFormat="1" ht="18" hidden="1" customHeight="1" x14ac:dyDescent="0.25">
      <c r="C1294" s="202"/>
      <c r="D1294" s="81"/>
      <c r="E1294" s="81"/>
      <c r="F1294" s="81"/>
      <c r="G1294" s="81"/>
      <c r="H1294" s="81"/>
      <c r="I1294" s="167"/>
      <c r="J1294" s="168"/>
      <c r="K1294" s="167"/>
      <c r="L1294" s="168"/>
      <c r="M1294" s="169"/>
      <c r="N1294" s="169"/>
      <c r="O1294" s="169"/>
      <c r="P1294" s="93"/>
    </row>
    <row r="1295" spans="2:16" s="146" customFormat="1" ht="18" hidden="1" customHeight="1" x14ac:dyDescent="0.25">
      <c r="C1295" s="80"/>
      <c r="D1295" s="81"/>
      <c r="E1295" s="330"/>
      <c r="F1295" s="330"/>
      <c r="G1295" s="330"/>
      <c r="H1295" s="330"/>
      <c r="I1295" s="330"/>
      <c r="J1295" s="330"/>
      <c r="K1295" s="330"/>
      <c r="L1295" s="330"/>
      <c r="M1295" s="330"/>
      <c r="N1295" s="330"/>
      <c r="O1295" s="94"/>
      <c r="P1295" s="93"/>
    </row>
    <row r="1296" spans="2:16" s="146" customFormat="1" ht="18" hidden="1" customHeight="1" x14ac:dyDescent="0.25">
      <c r="C1296" s="80"/>
      <c r="D1296" s="180"/>
      <c r="E1296" s="180"/>
      <c r="F1296" s="180"/>
      <c r="G1296" s="180"/>
      <c r="H1296" s="180"/>
      <c r="I1296" s="180"/>
      <c r="J1296" s="180"/>
      <c r="K1296" s="180"/>
      <c r="L1296" s="328"/>
      <c r="M1296" s="181"/>
      <c r="N1296" s="182"/>
      <c r="O1296" s="95"/>
      <c r="P1296" s="93"/>
    </row>
    <row r="1297" spans="3:16" s="146" customFormat="1" ht="18" hidden="1" customHeight="1" x14ac:dyDescent="0.25">
      <c r="C1297" s="80"/>
      <c r="D1297" s="331"/>
      <c r="E1297" s="331"/>
      <c r="F1297" s="331"/>
      <c r="G1297" s="331"/>
      <c r="H1297" s="331"/>
      <c r="I1297" s="331"/>
      <c r="J1297" s="331"/>
      <c r="K1297" s="331"/>
      <c r="L1297" s="328"/>
      <c r="M1297" s="332"/>
      <c r="N1297" s="328"/>
      <c r="O1297" s="95"/>
      <c r="P1297" s="93"/>
    </row>
    <row r="1298" spans="3:16" s="146" customFormat="1" ht="18" hidden="1" customHeight="1" x14ac:dyDescent="0.25">
      <c r="C1298" s="80"/>
      <c r="D1298" s="331"/>
      <c r="E1298" s="331"/>
      <c r="F1298" s="331"/>
      <c r="G1298" s="331"/>
      <c r="H1298" s="331"/>
      <c r="I1298" s="331"/>
      <c r="J1298" s="331"/>
      <c r="K1298" s="331"/>
      <c r="L1298" s="328"/>
      <c r="M1298" s="332"/>
      <c r="N1298" s="328"/>
      <c r="O1298" s="95"/>
      <c r="P1298" s="93"/>
    </row>
    <row r="1299" spans="3:16" s="146" customFormat="1" ht="18" hidden="1" customHeight="1" x14ac:dyDescent="0.25">
      <c r="C1299" s="80"/>
      <c r="D1299" s="331"/>
      <c r="E1299" s="331"/>
      <c r="F1299" s="331"/>
      <c r="G1299" s="331"/>
      <c r="H1299" s="331"/>
      <c r="I1299" s="331"/>
      <c r="J1299" s="331"/>
      <c r="K1299" s="331"/>
      <c r="L1299" s="328"/>
      <c r="M1299" s="332"/>
      <c r="N1299" s="328"/>
      <c r="O1299" s="95"/>
      <c r="P1299" s="93"/>
    </row>
    <row r="1300" spans="3:16" s="146" customFormat="1" ht="18" hidden="1" customHeight="1" x14ac:dyDescent="0.25">
      <c r="C1300" s="80"/>
      <c r="D1300" s="331"/>
      <c r="E1300" s="331"/>
      <c r="F1300" s="331"/>
      <c r="G1300" s="331"/>
      <c r="H1300" s="331"/>
      <c r="I1300" s="331"/>
      <c r="J1300" s="331"/>
      <c r="K1300" s="331"/>
      <c r="L1300" s="328"/>
      <c r="M1300" s="332"/>
      <c r="N1300" s="328"/>
      <c r="O1300" s="95"/>
      <c r="P1300" s="93"/>
    </row>
    <row r="1301" spans="3:16" s="146" customFormat="1" ht="9.9499999999999993" hidden="1" customHeight="1" thickBot="1" x14ac:dyDescent="0.3">
      <c r="C1301" s="80"/>
      <c r="D1301" s="81"/>
      <c r="E1301" s="81"/>
      <c r="F1301" s="81"/>
      <c r="G1301" s="81"/>
      <c r="H1301" s="81"/>
      <c r="I1301" s="81"/>
      <c r="J1301" s="81"/>
      <c r="K1301" s="81"/>
      <c r="L1301" s="81"/>
      <c r="M1301" s="81"/>
      <c r="N1301" s="81"/>
      <c r="O1301" s="96"/>
      <c r="P1301" s="97"/>
    </row>
    <row r="1302" spans="3:16" s="146" customFormat="1" ht="18" hidden="1" customHeight="1" x14ac:dyDescent="0.25">
      <c r="C1302" s="29"/>
      <c r="E1302" s="30"/>
      <c r="F1302" s="30"/>
      <c r="G1302" s="1041" t="s">
        <v>343</v>
      </c>
      <c r="H1302" s="1042"/>
      <c r="I1302" s="1042"/>
      <c r="J1302" s="1043"/>
      <c r="K1302" s="1085">
        <f>'[25]MEMÓRIA DE CÁLCULO'!$K$1378</f>
        <v>1</v>
      </c>
      <c r="L1302" s="1086"/>
      <c r="M1302" s="18"/>
      <c r="N1302" s="18"/>
      <c r="O1302" s="98"/>
      <c r="P1302" s="99"/>
    </row>
    <row r="1303" spans="3:16" s="146" customFormat="1" ht="18" hidden="1" customHeight="1" x14ac:dyDescent="0.25">
      <c r="C1303" s="29"/>
      <c r="E1303" s="30"/>
      <c r="F1303" s="30"/>
      <c r="G1303" s="1082" t="s">
        <v>344</v>
      </c>
      <c r="H1303" s="1083"/>
      <c r="I1303" s="1083"/>
      <c r="J1303" s="1084"/>
      <c r="K1303" s="1075">
        <f>K1302+O1288</f>
        <v>1</v>
      </c>
      <c r="L1303" s="1076"/>
      <c r="M1303" s="18"/>
      <c r="N1303" s="18"/>
      <c r="O1303" s="98"/>
      <c r="P1303" s="99"/>
    </row>
    <row r="1304" spans="3:16" s="146" customFormat="1" ht="18" hidden="1" customHeight="1" x14ac:dyDescent="0.25">
      <c r="C1304" s="29"/>
      <c r="D1304" s="30"/>
      <c r="E1304" s="30"/>
      <c r="F1304" s="30"/>
      <c r="G1304" s="1082" t="s">
        <v>345</v>
      </c>
      <c r="H1304" s="1083"/>
      <c r="I1304" s="1083"/>
      <c r="J1304" s="1084"/>
      <c r="K1304" s="1075">
        <f>'BM DETALHADO'!E94</f>
        <v>1</v>
      </c>
      <c r="L1304" s="1076"/>
      <c r="M1304" s="18"/>
      <c r="N1304" s="18"/>
      <c r="O1304" s="98"/>
      <c r="P1304" s="99"/>
    </row>
    <row r="1305" spans="3:16" s="146" customFormat="1" ht="18" hidden="1" customHeight="1" thickBot="1" x14ac:dyDescent="0.3">
      <c r="C1305" s="29"/>
      <c r="D1305" s="30"/>
      <c r="E1305" s="30"/>
      <c r="F1305" s="30"/>
      <c r="G1305" s="1077" t="s">
        <v>346</v>
      </c>
      <c r="H1305" s="1078"/>
      <c r="I1305" s="1078"/>
      <c r="J1305" s="1079"/>
      <c r="K1305" s="1068">
        <f>K1304-K1303</f>
        <v>0</v>
      </c>
      <c r="L1305" s="1069"/>
      <c r="M1305" s="18"/>
      <c r="N1305" s="18"/>
      <c r="O1305" s="98"/>
      <c r="P1305" s="99"/>
    </row>
    <row r="1306" spans="3:16" s="146" customFormat="1" ht="9.9499999999999993" hidden="1" customHeight="1" thickBot="1" x14ac:dyDescent="0.3">
      <c r="C1306" s="21"/>
      <c r="D1306" s="22"/>
      <c r="E1306" s="22"/>
      <c r="F1306" s="22"/>
      <c r="G1306" s="360"/>
      <c r="H1306" s="360"/>
      <c r="I1306" s="360"/>
      <c r="J1306" s="360"/>
      <c r="K1306" s="361"/>
      <c r="L1306" s="361"/>
      <c r="M1306" s="22"/>
      <c r="N1306" s="22"/>
      <c r="O1306" s="100"/>
      <c r="P1306" s="101"/>
    </row>
    <row r="1307" spans="3:16" s="146" customFormat="1" ht="18" hidden="1" customHeight="1" x14ac:dyDescent="0.25">
      <c r="C1307" s="20" t="s">
        <v>34</v>
      </c>
      <c r="D1307" s="1052" t="s">
        <v>35</v>
      </c>
      <c r="E1307" s="1053"/>
      <c r="F1307" s="1053"/>
      <c r="G1307" s="1053"/>
      <c r="H1307" s="1053"/>
      <c r="I1307" s="1053"/>
      <c r="J1307" s="1053"/>
      <c r="K1307" s="1053"/>
      <c r="L1307" s="1053"/>
      <c r="M1307" s="1054"/>
      <c r="N1307" s="145" t="s">
        <v>0</v>
      </c>
      <c r="O1307" s="1107" t="s">
        <v>4</v>
      </c>
      <c r="P1307" s="1108"/>
    </row>
    <row r="1308" spans="3:16" s="146" customFormat="1" ht="69.95" hidden="1" customHeight="1" thickBot="1" x14ac:dyDescent="0.3">
      <c r="C1308" s="85" t="s">
        <v>220</v>
      </c>
      <c r="D1308" s="1070" t="str">
        <f>VLOOKUP(C1308,'BM DETALHADO'!$B$13:$D$126,2,FALSE)</f>
        <v>SONDAGEM A PERCUSSÃO D = 2 1/2" COM MEDIDA DE SPT (FATURAMENTO MÍNIMO = 30 M)</v>
      </c>
      <c r="E1308" s="1071"/>
      <c r="F1308" s="1071"/>
      <c r="G1308" s="1071"/>
      <c r="H1308" s="1071"/>
      <c r="I1308" s="1071"/>
      <c r="J1308" s="1071"/>
      <c r="K1308" s="1071"/>
      <c r="L1308" s="1071"/>
      <c r="M1308" s="1072"/>
      <c r="N1308" s="19" t="str">
        <f>VLOOKUP(C1308,'BM DETALHADO'!$B$13:$D$126,3,FALSE)</f>
        <v>M</v>
      </c>
      <c r="O1308" s="1109"/>
      <c r="P1308" s="1110"/>
    </row>
    <row r="1309" spans="3:16" s="146" customFormat="1" ht="9.9499999999999993" hidden="1" customHeight="1" x14ac:dyDescent="0.25">
      <c r="C1309" s="77"/>
      <c r="D1309" s="78"/>
      <c r="E1309" s="79"/>
      <c r="F1309" s="79"/>
      <c r="G1309" s="79"/>
      <c r="H1309" s="79"/>
      <c r="I1309" s="79"/>
      <c r="J1309" s="79"/>
      <c r="K1309" s="79"/>
      <c r="L1309" s="79"/>
      <c r="M1309" s="79"/>
      <c r="N1309" s="79"/>
      <c r="O1309" s="91"/>
      <c r="P1309" s="92"/>
    </row>
    <row r="1310" spans="3:16" s="146" customFormat="1" ht="18" hidden="1" customHeight="1" x14ac:dyDescent="0.25">
      <c r="C1310" s="336"/>
      <c r="D1310" s="81"/>
      <c r="E1310" s="81"/>
      <c r="F1310" s="81"/>
      <c r="G1310" s="81"/>
      <c r="H1310" s="330"/>
      <c r="I1310" s="344"/>
      <c r="J1310" s="339"/>
      <c r="K1310" s="344"/>
      <c r="L1310" s="339"/>
      <c r="M1310" s="169"/>
      <c r="N1310" s="169"/>
      <c r="O1310" s="343"/>
      <c r="P1310" s="93"/>
    </row>
    <row r="1311" spans="3:16" s="146" customFormat="1" ht="18" hidden="1" customHeight="1" x14ac:dyDescent="0.25">
      <c r="C1311" s="336"/>
      <c r="D1311" s="330"/>
      <c r="E1311" s="330"/>
      <c r="F1311" s="81"/>
      <c r="G1311" s="330"/>
      <c r="H1311" s="330"/>
      <c r="I1311" s="330"/>
      <c r="J1311" s="330"/>
      <c r="K1311" s="330"/>
      <c r="L1311" s="330"/>
      <c r="M1311" s="330"/>
      <c r="N1311" s="330"/>
      <c r="O1311" s="94"/>
      <c r="P1311" s="93"/>
    </row>
    <row r="1312" spans="3:16" s="146" customFormat="1" ht="18" hidden="1" customHeight="1" x14ac:dyDescent="0.25">
      <c r="C1312" s="202"/>
      <c r="D1312" s="330"/>
      <c r="E1312" s="330"/>
      <c r="F1312" s="81"/>
      <c r="G1312" s="330"/>
      <c r="H1312" s="81"/>
      <c r="I1312" s="167"/>
      <c r="J1312" s="168"/>
      <c r="K1312" s="167"/>
      <c r="L1312" s="168"/>
      <c r="M1312" s="169"/>
      <c r="N1312" s="169"/>
      <c r="O1312" s="169"/>
      <c r="P1312" s="93"/>
    </row>
    <row r="1313" spans="2:16" s="146" customFormat="1" ht="18" hidden="1" customHeight="1" x14ac:dyDescent="0.25">
      <c r="C1313" s="202"/>
      <c r="D1313" s="182"/>
      <c r="E1313" s="328"/>
      <c r="F1313" s="208"/>
      <c r="G1313" s="328"/>
      <c r="H1313" s="81"/>
      <c r="I1313" s="167"/>
      <c r="J1313" s="168"/>
      <c r="K1313" s="167"/>
      <c r="L1313" s="168"/>
      <c r="M1313" s="169"/>
      <c r="N1313" s="169"/>
      <c r="O1313" s="169"/>
      <c r="P1313" s="93"/>
    </row>
    <row r="1314" spans="2:16" s="146" customFormat="1" ht="18" hidden="1" customHeight="1" x14ac:dyDescent="0.25">
      <c r="C1314" s="202"/>
      <c r="D1314" s="81"/>
      <c r="E1314" s="81"/>
      <c r="F1314" s="81"/>
      <c r="G1314" s="81"/>
      <c r="H1314" s="81"/>
      <c r="I1314" s="167"/>
      <c r="J1314" s="168"/>
      <c r="K1314" s="167"/>
      <c r="L1314" s="168"/>
      <c r="M1314" s="169"/>
      <c r="N1314" s="169"/>
      <c r="O1314" s="169"/>
      <c r="P1314" s="93"/>
    </row>
    <row r="1315" spans="2:16" s="146" customFormat="1" ht="18" hidden="1" customHeight="1" x14ac:dyDescent="0.25">
      <c r="C1315" s="202"/>
      <c r="D1315" s="81"/>
      <c r="E1315" s="81"/>
      <c r="F1315" s="81"/>
      <c r="G1315" s="81"/>
      <c r="H1315" s="81"/>
      <c r="I1315" s="167"/>
      <c r="J1315" s="168"/>
      <c r="K1315" s="167"/>
      <c r="L1315" s="168"/>
      <c r="M1315" s="169"/>
      <c r="N1315" s="169"/>
      <c r="O1315" s="169"/>
      <c r="P1315" s="93"/>
    </row>
    <row r="1316" spans="2:16" s="146" customFormat="1" ht="18" hidden="1" customHeight="1" x14ac:dyDescent="0.25">
      <c r="C1316" s="202"/>
      <c r="D1316" s="81"/>
      <c r="E1316" s="81"/>
      <c r="F1316" s="81"/>
      <c r="G1316" s="81"/>
      <c r="H1316" s="81"/>
      <c r="I1316" s="167"/>
      <c r="J1316" s="168"/>
      <c r="K1316" s="167"/>
      <c r="L1316" s="168"/>
      <c r="M1316" s="169"/>
      <c r="N1316" s="169"/>
      <c r="O1316" s="169"/>
      <c r="P1316" s="93"/>
    </row>
    <row r="1317" spans="2:16" s="146" customFormat="1" ht="18" hidden="1" customHeight="1" x14ac:dyDescent="0.25">
      <c r="C1317" s="80"/>
      <c r="D1317" s="81"/>
      <c r="E1317" s="330"/>
      <c r="F1317" s="330"/>
      <c r="G1317" s="330"/>
      <c r="H1317" s="330"/>
      <c r="I1317" s="330"/>
      <c r="J1317" s="330"/>
      <c r="K1317" s="330"/>
      <c r="L1317" s="330"/>
      <c r="M1317" s="330"/>
      <c r="N1317" s="330"/>
      <c r="O1317" s="94"/>
      <c r="P1317" s="93"/>
    </row>
    <row r="1318" spans="2:16" s="146" customFormat="1" ht="18" hidden="1" customHeight="1" x14ac:dyDescent="0.25">
      <c r="C1318" s="80"/>
      <c r="D1318" s="180"/>
      <c r="E1318" s="180"/>
      <c r="F1318" s="180"/>
      <c r="G1318" s="180"/>
      <c r="H1318" s="180"/>
      <c r="I1318" s="180"/>
      <c r="J1318" s="180"/>
      <c r="K1318" s="180"/>
      <c r="L1318" s="328"/>
      <c r="M1318" s="181"/>
      <c r="N1318" s="182"/>
      <c r="O1318" s="95"/>
      <c r="P1318" s="93"/>
    </row>
    <row r="1319" spans="2:16" s="146" customFormat="1" ht="18" hidden="1" customHeight="1" x14ac:dyDescent="0.25">
      <c r="C1319" s="80"/>
      <c r="D1319" s="331"/>
      <c r="E1319" s="331"/>
      <c r="F1319" s="331"/>
      <c r="G1319" s="331"/>
      <c r="H1319" s="331"/>
      <c r="I1319" s="331"/>
      <c r="J1319" s="331"/>
      <c r="K1319" s="331"/>
      <c r="L1319" s="328"/>
      <c r="M1319" s="332"/>
      <c r="N1319" s="328"/>
      <c r="O1319" s="95"/>
      <c r="P1319" s="93"/>
    </row>
    <row r="1320" spans="2:16" s="146" customFormat="1" ht="18" hidden="1" customHeight="1" x14ac:dyDescent="0.25">
      <c r="C1320" s="80"/>
      <c r="D1320" s="331"/>
      <c r="E1320" s="331"/>
      <c r="F1320" s="331"/>
      <c r="G1320" s="331"/>
      <c r="H1320" s="331"/>
      <c r="I1320" s="331"/>
      <c r="J1320" s="331"/>
      <c r="K1320" s="331"/>
      <c r="L1320" s="328"/>
      <c r="M1320" s="332"/>
      <c r="N1320" s="328"/>
      <c r="O1320" s="95"/>
      <c r="P1320" s="93"/>
    </row>
    <row r="1321" spans="2:16" s="146" customFormat="1" ht="18" hidden="1" customHeight="1" x14ac:dyDescent="0.25">
      <c r="C1321" s="80"/>
      <c r="D1321" s="331"/>
      <c r="E1321" s="331"/>
      <c r="F1321" s="331"/>
      <c r="G1321" s="331"/>
      <c r="H1321" s="331"/>
      <c r="I1321" s="331"/>
      <c r="J1321" s="331"/>
      <c r="K1321" s="331"/>
      <c r="L1321" s="328"/>
      <c r="M1321" s="332"/>
      <c r="N1321" s="328"/>
      <c r="O1321" s="95"/>
      <c r="P1321" s="93"/>
    </row>
    <row r="1322" spans="2:16" s="146" customFormat="1" ht="9.9499999999999993" hidden="1" customHeight="1" thickBot="1" x14ac:dyDescent="0.3">
      <c r="C1322" s="80"/>
      <c r="D1322" s="81"/>
      <c r="E1322" s="81"/>
      <c r="F1322" s="81"/>
      <c r="G1322" s="81"/>
      <c r="H1322" s="81"/>
      <c r="I1322" s="81"/>
      <c r="J1322" s="81"/>
      <c r="K1322" s="81"/>
      <c r="L1322" s="81"/>
      <c r="M1322" s="81"/>
      <c r="N1322" s="81"/>
      <c r="O1322" s="96"/>
      <c r="P1322" s="97"/>
    </row>
    <row r="1323" spans="2:16" s="146" customFormat="1" ht="18" hidden="1" customHeight="1" x14ac:dyDescent="0.25">
      <c r="B1323" s="31" t="s">
        <v>34</v>
      </c>
      <c r="C1323" s="29"/>
      <c r="E1323" s="30"/>
      <c r="F1323" s="30"/>
      <c r="G1323" s="1041" t="s">
        <v>343</v>
      </c>
      <c r="H1323" s="1042"/>
      <c r="I1323" s="1042"/>
      <c r="J1323" s="1043"/>
      <c r="K1323" s="1085">
        <f>'[25]MEMÓRIA DE CÁLCULO'!$K$1399</f>
        <v>30.9</v>
      </c>
      <c r="L1323" s="1086"/>
      <c r="M1323" s="18"/>
      <c r="N1323" s="18"/>
      <c r="O1323" s="98"/>
      <c r="P1323" s="99"/>
    </row>
    <row r="1324" spans="2:16" s="146" customFormat="1" ht="18" hidden="1" customHeight="1" x14ac:dyDescent="0.25">
      <c r="B1324" s="31" t="str">
        <f>C1308</f>
        <v>5.6</v>
      </c>
      <c r="C1324" s="29"/>
      <c r="E1324" s="30"/>
      <c r="F1324" s="30"/>
      <c r="G1324" s="1082" t="s">
        <v>344</v>
      </c>
      <c r="H1324" s="1083"/>
      <c r="I1324" s="1083"/>
      <c r="J1324" s="1084"/>
      <c r="K1324" s="1075">
        <f>K1323+O1309</f>
        <v>30.9</v>
      </c>
      <c r="L1324" s="1076"/>
      <c r="M1324" s="18"/>
      <c r="N1324" s="18"/>
      <c r="O1324" s="98"/>
      <c r="P1324" s="99"/>
    </row>
    <row r="1325" spans="2:16" s="146" customFormat="1" ht="18" hidden="1" customHeight="1" x14ac:dyDescent="0.25">
      <c r="C1325" s="29"/>
      <c r="D1325" s="30"/>
      <c r="E1325" s="30"/>
      <c r="F1325" s="30"/>
      <c r="G1325" s="1082" t="s">
        <v>345</v>
      </c>
      <c r="H1325" s="1083"/>
      <c r="I1325" s="1083"/>
      <c r="J1325" s="1084"/>
      <c r="K1325" s="1075">
        <f>'BM DETALHADO'!E95</f>
        <v>60</v>
      </c>
      <c r="L1325" s="1076"/>
      <c r="M1325" s="18"/>
      <c r="N1325" s="18"/>
      <c r="O1325" s="98"/>
      <c r="P1325" s="99"/>
    </row>
    <row r="1326" spans="2:16" s="146" customFormat="1" ht="18" hidden="1" customHeight="1" thickBot="1" x14ac:dyDescent="0.3">
      <c r="C1326" s="29"/>
      <c r="D1326" s="30"/>
      <c r="E1326" s="30"/>
      <c r="F1326" s="30"/>
      <c r="G1326" s="1077" t="s">
        <v>346</v>
      </c>
      <c r="H1326" s="1078"/>
      <c r="I1326" s="1078"/>
      <c r="J1326" s="1079"/>
      <c r="K1326" s="1068">
        <f>K1325-K1324</f>
        <v>29.1</v>
      </c>
      <c r="L1326" s="1069"/>
      <c r="M1326" s="18"/>
      <c r="N1326" s="18"/>
      <c r="O1326" s="98"/>
      <c r="P1326" s="99"/>
    </row>
    <row r="1327" spans="2:16" s="146" customFormat="1" ht="9.9499999999999993" hidden="1" customHeight="1" thickBot="1" x14ac:dyDescent="0.3">
      <c r="C1327" s="21"/>
      <c r="D1327" s="22"/>
      <c r="E1327" s="22"/>
      <c r="F1327" s="22"/>
      <c r="G1327" s="360"/>
      <c r="H1327" s="360"/>
      <c r="I1327" s="360"/>
      <c r="J1327" s="360"/>
      <c r="K1327" s="361"/>
      <c r="L1327" s="361"/>
      <c r="M1327" s="22"/>
      <c r="N1327" s="22"/>
      <c r="O1327" s="100"/>
      <c r="P1327" s="101"/>
    </row>
    <row r="1328" spans="2:16" s="146" customFormat="1" ht="18" hidden="1" customHeight="1" x14ac:dyDescent="0.25">
      <c r="C1328" s="20" t="s">
        <v>34</v>
      </c>
      <c r="D1328" s="1052" t="s">
        <v>35</v>
      </c>
      <c r="E1328" s="1053"/>
      <c r="F1328" s="1053"/>
      <c r="G1328" s="1053"/>
      <c r="H1328" s="1053"/>
      <c r="I1328" s="1053"/>
      <c r="J1328" s="1053"/>
      <c r="K1328" s="1053"/>
      <c r="L1328" s="1053"/>
      <c r="M1328" s="1054"/>
      <c r="N1328" s="145" t="s">
        <v>0</v>
      </c>
      <c r="O1328" s="1107" t="s">
        <v>4</v>
      </c>
      <c r="P1328" s="1108"/>
    </row>
    <row r="1329" spans="2:16" s="146" customFormat="1" ht="69.95" hidden="1" customHeight="1" thickBot="1" x14ac:dyDescent="0.3">
      <c r="C1329" s="85" t="s">
        <v>223</v>
      </c>
      <c r="D1329" s="1070" t="e">
        <f>VLOOKUP(C1329,'BM DETALHADO'!$B$13:$D$126,2,FALSE)</f>
        <v>#N/A</v>
      </c>
      <c r="E1329" s="1071"/>
      <c r="F1329" s="1071"/>
      <c r="G1329" s="1071"/>
      <c r="H1329" s="1071"/>
      <c r="I1329" s="1071"/>
      <c r="J1329" s="1071"/>
      <c r="K1329" s="1071"/>
      <c r="L1329" s="1071"/>
      <c r="M1329" s="1072"/>
      <c r="N1329" s="19" t="e">
        <f>VLOOKUP(C1329,'BM DETALHADO'!$B$13:$D$126,3,FALSE)</f>
        <v>#N/A</v>
      </c>
      <c r="O1329" s="1109"/>
      <c r="P1329" s="1110"/>
    </row>
    <row r="1330" spans="2:16" s="146" customFormat="1" ht="9.9499999999999993" hidden="1" customHeight="1" x14ac:dyDescent="0.25">
      <c r="C1330" s="77"/>
      <c r="D1330" s="78"/>
      <c r="E1330" s="79"/>
      <c r="F1330" s="79"/>
      <c r="G1330" s="79"/>
      <c r="H1330" s="79"/>
      <c r="I1330" s="79"/>
      <c r="J1330" s="79"/>
      <c r="K1330" s="79"/>
      <c r="L1330" s="79"/>
      <c r="M1330" s="79"/>
      <c r="N1330" s="79"/>
      <c r="O1330" s="91"/>
      <c r="P1330" s="92"/>
    </row>
    <row r="1331" spans="2:16" s="146" customFormat="1" ht="18" hidden="1" customHeight="1" x14ac:dyDescent="0.25">
      <c r="C1331" s="336"/>
      <c r="D1331" s="81"/>
      <c r="E1331" s="81"/>
      <c r="F1331" s="81"/>
      <c r="G1331" s="81"/>
      <c r="H1331" s="330"/>
      <c r="I1331" s="344"/>
      <c r="J1331" s="339"/>
      <c r="K1331" s="344"/>
      <c r="L1331" s="339"/>
      <c r="M1331" s="169"/>
      <c r="N1331" s="169"/>
      <c r="O1331" s="343"/>
      <c r="P1331" s="93"/>
    </row>
    <row r="1332" spans="2:16" s="146" customFormat="1" ht="18" hidden="1" customHeight="1" x14ac:dyDescent="0.25">
      <c r="C1332" s="336"/>
      <c r="D1332" s="333"/>
      <c r="E1332" s="333"/>
      <c r="F1332" s="333"/>
      <c r="G1332" s="333"/>
      <c r="H1332" s="330"/>
      <c r="I1332" s="330"/>
      <c r="J1332" s="330"/>
      <c r="K1332" s="330"/>
      <c r="L1332" s="330"/>
      <c r="M1332" s="330"/>
      <c r="N1332" s="330"/>
      <c r="O1332" s="94"/>
      <c r="P1332" s="93"/>
    </row>
    <row r="1333" spans="2:16" s="146" customFormat="1" ht="18" hidden="1" customHeight="1" x14ac:dyDescent="0.25">
      <c r="C1333" s="202"/>
      <c r="D1333" s="81"/>
      <c r="E1333" s="81"/>
      <c r="F1333" s="81"/>
      <c r="G1333" s="81"/>
      <c r="H1333" s="81"/>
      <c r="I1333" s="167"/>
      <c r="J1333" s="168"/>
      <c r="K1333" s="167"/>
      <c r="L1333" s="168"/>
      <c r="M1333" s="169"/>
      <c r="N1333" s="169"/>
      <c r="O1333" s="169"/>
      <c r="P1333" s="93"/>
    </row>
    <row r="1334" spans="2:16" s="146" customFormat="1" ht="18" hidden="1" customHeight="1" x14ac:dyDescent="0.25">
      <c r="C1334" s="202"/>
      <c r="D1334" s="81"/>
      <c r="E1334" s="81"/>
      <c r="F1334" s="81"/>
      <c r="G1334" s="81"/>
      <c r="H1334" s="81"/>
      <c r="I1334" s="167"/>
      <c r="J1334" s="168"/>
      <c r="K1334" s="167"/>
      <c r="L1334" s="168"/>
      <c r="M1334" s="169"/>
      <c r="N1334" s="169"/>
      <c r="O1334" s="169"/>
      <c r="P1334" s="93"/>
    </row>
    <row r="1335" spans="2:16" s="146" customFormat="1" ht="18" hidden="1" customHeight="1" x14ac:dyDescent="0.25">
      <c r="C1335" s="202"/>
      <c r="D1335" s="81"/>
      <c r="E1335" s="81"/>
      <c r="F1335" s="81"/>
      <c r="G1335" s="81"/>
      <c r="H1335" s="81"/>
      <c r="I1335" s="167"/>
      <c r="J1335" s="168"/>
      <c r="K1335" s="167"/>
      <c r="L1335" s="168"/>
      <c r="M1335" s="169"/>
      <c r="N1335" s="169"/>
      <c r="O1335" s="169"/>
      <c r="P1335" s="93"/>
    </row>
    <row r="1336" spans="2:16" s="146" customFormat="1" ht="18" hidden="1" customHeight="1" x14ac:dyDescent="0.25">
      <c r="C1336" s="202"/>
      <c r="D1336" s="81"/>
      <c r="E1336" s="81"/>
      <c r="F1336" s="81"/>
      <c r="G1336" s="81"/>
      <c r="H1336" s="81"/>
      <c r="I1336" s="167"/>
      <c r="J1336" s="168"/>
      <c r="K1336" s="167"/>
      <c r="L1336" s="168"/>
      <c r="M1336" s="169"/>
      <c r="N1336" s="169"/>
      <c r="O1336" s="169"/>
      <c r="P1336" s="93"/>
    </row>
    <row r="1337" spans="2:16" s="146" customFormat="1" ht="18" hidden="1" customHeight="1" x14ac:dyDescent="0.25">
      <c r="C1337" s="202"/>
      <c r="D1337" s="81"/>
      <c r="E1337" s="81"/>
      <c r="F1337" s="81"/>
      <c r="G1337" s="81"/>
      <c r="H1337" s="81"/>
      <c r="I1337" s="167"/>
      <c r="J1337" s="168"/>
      <c r="K1337" s="167"/>
      <c r="L1337" s="168"/>
      <c r="M1337" s="169"/>
      <c r="N1337" s="169"/>
      <c r="O1337" s="169"/>
      <c r="P1337" s="93"/>
    </row>
    <row r="1338" spans="2:16" s="146" customFormat="1" ht="18" hidden="1" customHeight="1" x14ac:dyDescent="0.25">
      <c r="C1338" s="80"/>
      <c r="D1338" s="81"/>
      <c r="E1338" s="330"/>
      <c r="F1338" s="330"/>
      <c r="G1338" s="330"/>
      <c r="H1338" s="330"/>
      <c r="I1338" s="330"/>
      <c r="J1338" s="330"/>
      <c r="K1338" s="330"/>
      <c r="L1338" s="330"/>
      <c r="M1338" s="330"/>
      <c r="N1338" s="330"/>
      <c r="O1338" s="94"/>
      <c r="P1338" s="93"/>
    </row>
    <row r="1339" spans="2:16" s="146" customFormat="1" ht="18" hidden="1" customHeight="1" x14ac:dyDescent="0.25">
      <c r="C1339" s="80"/>
      <c r="D1339" s="180"/>
      <c r="E1339" s="180"/>
      <c r="F1339" s="180"/>
      <c r="G1339" s="180"/>
      <c r="H1339" s="180"/>
      <c r="I1339" s="180"/>
      <c r="J1339" s="180"/>
      <c r="K1339" s="180"/>
      <c r="L1339" s="328"/>
      <c r="M1339" s="181"/>
      <c r="N1339" s="182"/>
      <c r="O1339" s="95"/>
      <c r="P1339" s="93"/>
    </row>
    <row r="1340" spans="2:16" s="146" customFormat="1" ht="18" hidden="1" customHeight="1" x14ac:dyDescent="0.25">
      <c r="C1340" s="80"/>
      <c r="D1340" s="331"/>
      <c r="E1340" s="331"/>
      <c r="F1340" s="331"/>
      <c r="G1340" s="331"/>
      <c r="H1340" s="331"/>
      <c r="I1340" s="331"/>
      <c r="J1340" s="331"/>
      <c r="K1340" s="331"/>
      <c r="L1340" s="328"/>
      <c r="M1340" s="332"/>
      <c r="N1340" s="328"/>
      <c r="O1340" s="95"/>
      <c r="P1340" s="93"/>
    </row>
    <row r="1341" spans="2:16" s="146" customFormat="1" ht="18" hidden="1" customHeight="1" x14ac:dyDescent="0.25">
      <c r="C1341" s="80"/>
      <c r="D1341" s="331"/>
      <c r="E1341" s="331"/>
      <c r="F1341" s="331"/>
      <c r="G1341" s="331"/>
      <c r="H1341" s="331"/>
      <c r="I1341" s="331"/>
      <c r="J1341" s="331"/>
      <c r="K1341" s="331"/>
      <c r="L1341" s="328"/>
      <c r="M1341" s="332"/>
      <c r="N1341" s="328"/>
      <c r="O1341" s="95"/>
      <c r="P1341" s="93"/>
    </row>
    <row r="1342" spans="2:16" s="146" customFormat="1" ht="18" hidden="1" customHeight="1" x14ac:dyDescent="0.25">
      <c r="C1342" s="80"/>
      <c r="D1342" s="331"/>
      <c r="E1342" s="331"/>
      <c r="F1342" s="331"/>
      <c r="G1342" s="331"/>
      <c r="H1342" s="331"/>
      <c r="I1342" s="331"/>
      <c r="J1342" s="331"/>
      <c r="K1342" s="331"/>
      <c r="L1342" s="328"/>
      <c r="M1342" s="332"/>
      <c r="N1342" s="328"/>
      <c r="O1342" s="95"/>
      <c r="P1342" s="93"/>
    </row>
    <row r="1343" spans="2:16" s="146" customFormat="1" ht="9.9499999999999993" hidden="1" customHeight="1" x14ac:dyDescent="0.25">
      <c r="C1343" s="80"/>
      <c r="D1343" s="81"/>
      <c r="E1343" s="81"/>
      <c r="F1343" s="81"/>
      <c r="G1343" s="81"/>
      <c r="H1343" s="81"/>
      <c r="I1343" s="81"/>
      <c r="J1343" s="81"/>
      <c r="K1343" s="81"/>
      <c r="L1343" s="81"/>
      <c r="M1343" s="81"/>
      <c r="N1343" s="81"/>
      <c r="O1343" s="96"/>
      <c r="P1343" s="97"/>
    </row>
    <row r="1344" spans="2:16" s="146" customFormat="1" ht="18" hidden="1" customHeight="1" x14ac:dyDescent="0.25">
      <c r="B1344" s="31" t="s">
        <v>34</v>
      </c>
      <c r="C1344" s="29"/>
      <c r="E1344" s="30"/>
      <c r="F1344" s="30"/>
      <c r="G1344" s="363"/>
      <c r="H1344" s="363"/>
      <c r="I1344" s="363"/>
      <c r="J1344" s="363"/>
      <c r="K1344" s="365"/>
      <c r="L1344" s="365"/>
      <c r="M1344" s="18"/>
      <c r="N1344" s="18"/>
      <c r="O1344" s="98"/>
      <c r="P1344" s="99"/>
    </row>
    <row r="1345" spans="2:16" s="146" customFormat="1" ht="18" hidden="1" customHeight="1" x14ac:dyDescent="0.25">
      <c r="B1345" s="31" t="str">
        <f>C1329</f>
        <v>5.7</v>
      </c>
      <c r="C1345" s="29"/>
      <c r="E1345" s="30"/>
      <c r="F1345" s="30"/>
      <c r="G1345" s="363"/>
      <c r="H1345" s="363"/>
      <c r="I1345" s="363"/>
      <c r="J1345" s="363"/>
      <c r="K1345" s="364"/>
      <c r="L1345" s="364"/>
      <c r="M1345" s="18"/>
      <c r="N1345" s="18"/>
      <c r="O1345" s="98"/>
      <c r="P1345" s="99"/>
    </row>
    <row r="1346" spans="2:16" s="146" customFormat="1" ht="18" hidden="1" customHeight="1" x14ac:dyDescent="0.25">
      <c r="C1346" s="29"/>
      <c r="D1346" s="30"/>
      <c r="E1346" s="30"/>
      <c r="F1346" s="30"/>
      <c r="G1346" s="363"/>
      <c r="H1346" s="363"/>
      <c r="I1346" s="363"/>
      <c r="J1346" s="363"/>
      <c r="K1346" s="364"/>
      <c r="L1346" s="364"/>
      <c r="M1346" s="18"/>
      <c r="N1346" s="18"/>
      <c r="O1346" s="98"/>
      <c r="P1346" s="99"/>
    </row>
    <row r="1347" spans="2:16" s="146" customFormat="1" ht="18" hidden="1" customHeight="1" x14ac:dyDescent="0.25">
      <c r="C1347" s="29"/>
      <c r="D1347" s="30"/>
      <c r="E1347" s="30"/>
      <c r="F1347" s="30"/>
      <c r="G1347" s="363"/>
      <c r="H1347" s="363"/>
      <c r="I1347" s="363"/>
      <c r="J1347" s="363"/>
      <c r="K1347" s="364"/>
      <c r="L1347" s="364"/>
      <c r="M1347" s="18"/>
      <c r="N1347" s="18"/>
      <c r="O1347" s="98"/>
      <c r="P1347" s="99"/>
    </row>
    <row r="1348" spans="2:16" s="146" customFormat="1" ht="9.9499999999999993" hidden="1" customHeight="1" thickBot="1" x14ac:dyDescent="0.3">
      <c r="C1348" s="21"/>
      <c r="D1348" s="22"/>
      <c r="E1348" s="22"/>
      <c r="F1348" s="22"/>
      <c r="G1348" s="360"/>
      <c r="H1348" s="360"/>
      <c r="I1348" s="360"/>
      <c r="J1348" s="360"/>
      <c r="K1348" s="361"/>
      <c r="L1348" s="361"/>
      <c r="M1348" s="22"/>
      <c r="N1348" s="22"/>
      <c r="O1348" s="100"/>
      <c r="P1348" s="101"/>
    </row>
    <row r="1349" spans="2:16" s="146" customFormat="1" ht="18" customHeight="1" x14ac:dyDescent="0.25">
      <c r="C1349" s="20" t="s">
        <v>34</v>
      </c>
      <c r="D1349" s="1052" t="s">
        <v>35</v>
      </c>
      <c r="E1349" s="1053"/>
      <c r="F1349" s="1053"/>
      <c r="G1349" s="1053"/>
      <c r="H1349" s="1053"/>
      <c r="I1349" s="1053"/>
      <c r="J1349" s="1053"/>
      <c r="K1349" s="1053"/>
      <c r="L1349" s="1053"/>
      <c r="M1349" s="1054"/>
      <c r="N1349" s="145" t="s">
        <v>0</v>
      </c>
      <c r="O1349" s="1107" t="s">
        <v>4</v>
      </c>
      <c r="P1349" s="1108"/>
    </row>
    <row r="1350" spans="2:16" s="146" customFormat="1" ht="69.95" customHeight="1" thickBot="1" x14ac:dyDescent="0.3">
      <c r="C1350" s="85" t="s">
        <v>224</v>
      </c>
      <c r="D1350" s="1070" t="str">
        <f>VLOOKUP(C1350,'BM DETALHADO'!$B$13:$D$126,2,FALSE)</f>
        <v>SUSTENTAÇÃO RÍGIDA DE ESTEIOS COM ESCORAMENTO METÁLICO PARA AMPARAR A ESTRUTURA PERMITINDO A LIBERAÇÃO PARA  SUBSTITUIÇÃO DOS NABOS; RECORTE DE PARTES DANIFICADAS;  SUBSTITUIÇÃO  ESTRUTURAL E ESTÉTICA DE REGIÃO DANIFICADA DO ESTEIO COM ACOMPAMHAMENTO TÉCNICO ESPECIALIZADO</v>
      </c>
      <c r="E1350" s="1071"/>
      <c r="F1350" s="1071"/>
      <c r="G1350" s="1071"/>
      <c r="H1350" s="1071"/>
      <c r="I1350" s="1071"/>
      <c r="J1350" s="1071"/>
      <c r="K1350" s="1071"/>
      <c r="L1350" s="1071"/>
      <c r="M1350" s="1072"/>
      <c r="N1350" s="19" t="str">
        <f>VLOOKUP(C1350,'BM DETALHADO'!$B$13:$D$126,3,FALSE)</f>
        <v>UN</v>
      </c>
      <c r="O1350" s="1109"/>
      <c r="P1350" s="1110"/>
    </row>
    <row r="1351" spans="2:16" s="146" customFormat="1" ht="9.9499999999999993" customHeight="1" x14ac:dyDescent="0.25">
      <c r="C1351" s="77"/>
      <c r="D1351" s="78"/>
      <c r="E1351" s="79"/>
      <c r="F1351" s="79"/>
      <c r="G1351" s="79"/>
      <c r="H1351" s="79"/>
      <c r="I1351" s="79"/>
      <c r="J1351" s="79"/>
      <c r="K1351" s="79"/>
      <c r="L1351" s="79"/>
      <c r="M1351" s="79"/>
      <c r="N1351" s="79"/>
      <c r="O1351" s="91"/>
      <c r="P1351" s="92"/>
    </row>
    <row r="1352" spans="2:16" s="146" customFormat="1" ht="18" customHeight="1" x14ac:dyDescent="0.25">
      <c r="C1352" s="336"/>
      <c r="D1352" s="1040" t="s">
        <v>460</v>
      </c>
      <c r="E1352" s="1040"/>
      <c r="F1352" s="1250" t="s">
        <v>461</v>
      </c>
      <c r="G1352" s="1250"/>
      <c r="H1352" s="1250"/>
      <c r="I1352" s="1250"/>
      <c r="J1352" s="1250"/>
      <c r="K1352" s="820" t="s">
        <v>290</v>
      </c>
      <c r="L1352" s="210">
        <v>5</v>
      </c>
      <c r="M1352" s="1389" t="s">
        <v>462</v>
      </c>
      <c r="N1352" s="1389"/>
      <c r="O1352" s="822"/>
      <c r="P1352" s="93"/>
    </row>
    <row r="1353" spans="2:16" s="146" customFormat="1" ht="18" customHeight="1" x14ac:dyDescent="0.25">
      <c r="C1353" s="336"/>
      <c r="D1353" s="211"/>
      <c r="E1353" s="211"/>
      <c r="F1353" s="211"/>
      <c r="G1353" s="211"/>
      <c r="H1353" s="211"/>
      <c r="I1353" s="211"/>
      <c r="J1353" s="211"/>
      <c r="K1353" s="211"/>
      <c r="L1353" s="211"/>
      <c r="M1353" s="211"/>
      <c r="N1353" s="211"/>
      <c r="O1353" s="211"/>
      <c r="P1353" s="93"/>
    </row>
    <row r="1354" spans="2:16" s="146" customFormat="1" ht="18" customHeight="1" x14ac:dyDescent="0.25">
      <c r="C1354" s="202"/>
      <c r="D1354" s="182"/>
      <c r="E1354" s="182"/>
      <c r="F1354" s="182"/>
      <c r="G1354" s="821"/>
      <c r="H1354" s="208"/>
      <c r="I1354" s="201"/>
      <c r="J1354" s="168"/>
      <c r="K1354" s="167"/>
      <c r="L1354" s="168"/>
      <c r="M1354" s="169"/>
      <c r="N1354" s="169"/>
      <c r="O1354" s="169"/>
      <c r="P1354" s="93"/>
    </row>
    <row r="1355" spans="2:16" s="146" customFormat="1" ht="18" customHeight="1" x14ac:dyDescent="0.25">
      <c r="C1355" s="202"/>
      <c r="D1355" s="182"/>
      <c r="E1355" s="182"/>
      <c r="F1355" s="182"/>
      <c r="G1355" s="821"/>
      <c r="H1355" s="208"/>
      <c r="I1355" s="201"/>
      <c r="J1355" s="168"/>
      <c r="K1355" s="167"/>
      <c r="L1355" s="168"/>
      <c r="M1355" s="169"/>
      <c r="N1355" s="169"/>
      <c r="O1355" s="169"/>
      <c r="P1355" s="93"/>
    </row>
    <row r="1356" spans="2:16" s="146" customFormat="1" ht="18" customHeight="1" x14ac:dyDescent="0.25">
      <c r="C1356" s="202"/>
      <c r="D1356" s="81"/>
      <c r="E1356" s="81"/>
      <c r="F1356" s="81"/>
      <c r="G1356" s="81"/>
      <c r="H1356" s="81"/>
      <c r="I1356" s="167"/>
      <c r="J1356" s="168"/>
      <c r="K1356" s="167"/>
      <c r="L1356" s="168"/>
      <c r="M1356" s="169"/>
      <c r="N1356" s="169"/>
      <c r="O1356" s="169"/>
      <c r="P1356" s="93"/>
    </row>
    <row r="1357" spans="2:16" s="146" customFormat="1" ht="18" customHeight="1" x14ac:dyDescent="0.25">
      <c r="C1357" s="202"/>
      <c r="D1357" s="81"/>
      <c r="E1357" s="81"/>
      <c r="F1357" s="81"/>
      <c r="G1357" s="81"/>
      <c r="H1357" s="81"/>
      <c r="I1357" s="167"/>
      <c r="J1357" s="168"/>
      <c r="K1357" s="167"/>
      <c r="L1357" s="168"/>
      <c r="M1357" s="169"/>
      <c r="N1357" s="169"/>
      <c r="O1357" s="169"/>
      <c r="P1357" s="93"/>
    </row>
    <row r="1358" spans="2:16" s="146" customFormat="1" ht="18" customHeight="1" x14ac:dyDescent="0.25">
      <c r="C1358" s="202"/>
      <c r="D1358" s="81"/>
      <c r="E1358" s="81"/>
      <c r="F1358" s="81"/>
      <c r="G1358" s="81"/>
      <c r="H1358" s="81"/>
      <c r="I1358" s="81"/>
      <c r="J1358" s="81"/>
      <c r="K1358" s="81"/>
      <c r="L1358" s="81"/>
      <c r="M1358" s="81"/>
      <c r="N1358" s="169"/>
      <c r="O1358" s="169"/>
      <c r="P1358" s="93"/>
    </row>
    <row r="1359" spans="2:16" s="146" customFormat="1" ht="18" customHeight="1" x14ac:dyDescent="0.25">
      <c r="C1359" s="80"/>
      <c r="D1359" s="81"/>
      <c r="E1359" s="820"/>
      <c r="F1359" s="820"/>
      <c r="G1359" s="820"/>
      <c r="H1359" s="820"/>
      <c r="I1359" s="820"/>
      <c r="J1359" s="820"/>
      <c r="K1359" s="820"/>
      <c r="L1359" s="820"/>
      <c r="M1359" s="820"/>
      <c r="N1359" s="820"/>
      <c r="O1359" s="94"/>
      <c r="P1359" s="93"/>
    </row>
    <row r="1360" spans="2:16" s="146" customFormat="1" ht="18" customHeight="1" x14ac:dyDescent="0.25">
      <c r="C1360" s="80"/>
      <c r="D1360" s="180"/>
      <c r="E1360" s="180"/>
      <c r="F1360" s="180"/>
      <c r="G1360" s="180"/>
      <c r="H1360" s="180"/>
      <c r="I1360" s="180"/>
      <c r="J1360" s="180"/>
      <c r="K1360" s="180"/>
      <c r="L1360" s="821"/>
      <c r="M1360" s="181"/>
      <c r="N1360" s="182"/>
      <c r="O1360" s="95"/>
      <c r="P1360" s="93"/>
    </row>
    <row r="1361" spans="2:16" s="611" customFormat="1" ht="18" customHeight="1" x14ac:dyDescent="0.25">
      <c r="C1361" s="80"/>
      <c r="D1361" s="180"/>
      <c r="E1361" s="180"/>
      <c r="F1361" s="180"/>
      <c r="G1361" s="180"/>
      <c r="H1361" s="180"/>
      <c r="I1361" s="180"/>
      <c r="J1361" s="180"/>
      <c r="K1361" s="180"/>
      <c r="L1361" s="821"/>
      <c r="M1361" s="181"/>
      <c r="N1361" s="182"/>
      <c r="O1361" s="95"/>
      <c r="P1361" s="93"/>
    </row>
    <row r="1362" spans="2:16" s="146" customFormat="1" ht="18" customHeight="1" x14ac:dyDescent="0.25">
      <c r="C1362" s="80"/>
      <c r="D1362" s="824"/>
      <c r="E1362" s="824"/>
      <c r="F1362" s="824"/>
      <c r="G1362" s="824"/>
      <c r="H1362" s="824"/>
      <c r="I1362" s="824"/>
      <c r="J1362" s="824"/>
      <c r="K1362" s="824"/>
      <c r="L1362" s="821"/>
      <c r="M1362" s="823"/>
      <c r="N1362" s="821"/>
      <c r="O1362" s="95"/>
      <c r="P1362" s="93"/>
    </row>
    <row r="1363" spans="2:16" s="146" customFormat="1" ht="18" customHeight="1" x14ac:dyDescent="0.25">
      <c r="C1363" s="80"/>
      <c r="D1363" s="824"/>
      <c r="E1363" s="824"/>
      <c r="F1363" s="824"/>
      <c r="G1363" s="824"/>
      <c r="H1363" s="824"/>
      <c r="I1363" s="824"/>
      <c r="J1363" s="824"/>
      <c r="K1363" s="824"/>
      <c r="L1363" s="821"/>
      <c r="M1363" s="1390" t="s">
        <v>463</v>
      </c>
      <c r="N1363" s="1390"/>
      <c r="O1363" s="1390"/>
      <c r="P1363" s="1391"/>
    </row>
    <row r="1364" spans="2:16" s="146" customFormat="1" ht="9.9499999999999993" customHeight="1" thickBot="1" x14ac:dyDescent="0.3">
      <c r="C1364" s="80"/>
      <c r="D1364" s="81"/>
      <c r="E1364" s="81"/>
      <c r="F1364" s="81"/>
      <c r="G1364" s="81"/>
      <c r="H1364" s="81"/>
      <c r="I1364" s="81"/>
      <c r="J1364" s="81"/>
      <c r="K1364" s="81"/>
      <c r="L1364" s="81"/>
      <c r="M1364" s="1390"/>
      <c r="N1364" s="1390"/>
      <c r="O1364" s="1390"/>
      <c r="P1364" s="1391"/>
    </row>
    <row r="1365" spans="2:16" s="146" customFormat="1" ht="18" customHeight="1" x14ac:dyDescent="0.25">
      <c r="B1365" s="31" t="s">
        <v>34</v>
      </c>
      <c r="C1365" s="29"/>
      <c r="E1365" s="30"/>
      <c r="F1365" s="30"/>
      <c r="G1365" s="1041" t="s">
        <v>343</v>
      </c>
      <c r="H1365" s="1042"/>
      <c r="I1365" s="1042"/>
      <c r="J1365" s="1043"/>
      <c r="K1365" s="1085">
        <f>'[25]MEMÓRIA DE CÁLCULO'!$K$1441</f>
        <v>30</v>
      </c>
      <c r="L1365" s="1086"/>
      <c r="M1365" s="1390"/>
      <c r="N1365" s="1390"/>
      <c r="O1365" s="1390"/>
      <c r="P1365" s="1391"/>
    </row>
    <row r="1366" spans="2:16" s="146" customFormat="1" ht="18" customHeight="1" x14ac:dyDescent="0.25">
      <c r="B1366" s="31" t="str">
        <f>C1350</f>
        <v>6.1</v>
      </c>
      <c r="C1366" s="29"/>
      <c r="E1366" s="30"/>
      <c r="F1366" s="30"/>
      <c r="G1366" s="1082" t="s">
        <v>344</v>
      </c>
      <c r="H1366" s="1083"/>
      <c r="I1366" s="1083"/>
      <c r="J1366" s="1084"/>
      <c r="K1366" s="1075">
        <f>K1365+O1350</f>
        <v>30</v>
      </c>
      <c r="L1366" s="1076"/>
      <c r="M1366" s="1390"/>
      <c r="N1366" s="1390"/>
      <c r="O1366" s="1390"/>
      <c r="P1366" s="1391"/>
    </row>
    <row r="1367" spans="2:16" s="146" customFormat="1" ht="18" customHeight="1" x14ac:dyDescent="0.25">
      <c r="C1367" s="29"/>
      <c r="D1367" s="30"/>
      <c r="E1367" s="30"/>
      <c r="F1367" s="30"/>
      <c r="G1367" s="1082" t="s">
        <v>345</v>
      </c>
      <c r="H1367" s="1083"/>
      <c r="I1367" s="1083"/>
      <c r="J1367" s="1084"/>
      <c r="K1367" s="1075">
        <f>VLOOKUP(C1350,'[26]BM DETALHADO'!$B$13:$E$126,4,FALSE)</f>
        <v>30</v>
      </c>
      <c r="L1367" s="1076"/>
      <c r="M1367" s="1390"/>
      <c r="N1367" s="1390"/>
      <c r="O1367" s="1390"/>
      <c r="P1367" s="1391"/>
    </row>
    <row r="1368" spans="2:16" s="146" customFormat="1" ht="18" customHeight="1" thickBot="1" x14ac:dyDescent="0.3">
      <c r="C1368" s="29"/>
      <c r="D1368" s="30"/>
      <c r="E1368" s="30"/>
      <c r="F1368" s="30"/>
      <c r="G1368" s="1077" t="s">
        <v>346</v>
      </c>
      <c r="H1368" s="1078"/>
      <c r="I1368" s="1078"/>
      <c r="J1368" s="1079"/>
      <c r="K1368" s="1068">
        <f>K1367-K1366</f>
        <v>0</v>
      </c>
      <c r="L1368" s="1069"/>
      <c r="M1368" s="1390"/>
      <c r="N1368" s="1390"/>
      <c r="O1368" s="1390"/>
      <c r="P1368" s="1391"/>
    </row>
    <row r="1369" spans="2:16" s="146" customFormat="1" ht="9.9499999999999993" customHeight="1" thickBot="1" x14ac:dyDescent="0.3">
      <c r="C1369" s="21"/>
      <c r="D1369" s="22"/>
      <c r="E1369" s="22"/>
      <c r="F1369" s="22"/>
      <c r="G1369" s="360"/>
      <c r="H1369" s="360"/>
      <c r="I1369" s="360"/>
      <c r="J1369" s="360"/>
      <c r="K1369" s="361"/>
      <c r="L1369" s="361"/>
      <c r="M1369" s="22"/>
      <c r="N1369" s="22"/>
      <c r="O1369" s="100"/>
      <c r="P1369" s="101"/>
    </row>
    <row r="1370" spans="2:16" s="146" customFormat="1" ht="18" customHeight="1" x14ac:dyDescent="0.25">
      <c r="C1370" s="20" t="s">
        <v>34</v>
      </c>
      <c r="D1370" s="1052" t="s">
        <v>35</v>
      </c>
      <c r="E1370" s="1053"/>
      <c r="F1370" s="1053"/>
      <c r="G1370" s="1053"/>
      <c r="H1370" s="1053"/>
      <c r="I1370" s="1053"/>
      <c r="J1370" s="1053"/>
      <c r="K1370" s="1053"/>
      <c r="L1370" s="1053"/>
      <c r="M1370" s="1054"/>
      <c r="N1370" s="145" t="s">
        <v>0</v>
      </c>
      <c r="O1370" s="1107" t="s">
        <v>4</v>
      </c>
      <c r="P1370" s="1108"/>
    </row>
    <row r="1371" spans="2:16" s="146" customFormat="1" ht="69.95" customHeight="1" thickBot="1" x14ac:dyDescent="0.3">
      <c r="C1371" s="884" t="s">
        <v>226</v>
      </c>
      <c r="D1371" s="1359" t="str">
        <f>VLOOKUP(C1371,'BM DETALHADO'!$B$13:$D$126,2,FALSE)</f>
        <v>CHAPA DE AÇO ESPESSURA 1/2  , " GALVANIZAÇÃO A FOGO PARA FIXAÇÃO E REFORÇO DE ESTEIOS , LIGAÇÃO ENTRE ESTEIOS E VIGAS E FIXAÇÃO MADEIRAS DO DECK( DET PROJETO ESTRUTURAL)</v>
      </c>
      <c r="E1371" s="1360"/>
      <c r="F1371" s="1360"/>
      <c r="G1371" s="1360"/>
      <c r="H1371" s="1360"/>
      <c r="I1371" s="1360"/>
      <c r="J1371" s="1360"/>
      <c r="K1371" s="1360"/>
      <c r="L1371" s="1360"/>
      <c r="M1371" s="1361"/>
      <c r="N1371" s="885" t="str">
        <f>VLOOKUP(C1371,'BM DETALHADO'!$B$13:$D$126,3,FALSE)</f>
        <v>M2</v>
      </c>
      <c r="O1371" s="1109">
        <f>I1379</f>
        <v>1.8</v>
      </c>
      <c r="P1371" s="1182"/>
    </row>
    <row r="1372" spans="2:16" s="146" customFormat="1" ht="9.9499999999999993" customHeight="1" x14ac:dyDescent="0.25">
      <c r="C1372" s="77"/>
      <c r="D1372" s="78"/>
      <c r="E1372" s="79"/>
      <c r="F1372" s="79"/>
      <c r="G1372" s="79"/>
      <c r="H1372" s="79"/>
      <c r="I1372" s="79"/>
      <c r="J1372" s="79"/>
      <c r="K1372" s="79"/>
      <c r="L1372" s="79"/>
      <c r="M1372" s="79"/>
      <c r="N1372" s="79"/>
      <c r="O1372" s="91"/>
      <c r="P1372" s="92"/>
    </row>
    <row r="1373" spans="2:16" s="146" customFormat="1" ht="18" customHeight="1" x14ac:dyDescent="0.25">
      <c r="C1373" s="324"/>
      <c r="D1373" s="1031" t="s">
        <v>308</v>
      </c>
      <c r="E1373" s="1031"/>
      <c r="F1373" s="1031"/>
      <c r="G1373" s="318" t="s">
        <v>327</v>
      </c>
      <c r="H1373" s="434" t="s">
        <v>309</v>
      </c>
      <c r="I1373" s="434" t="s">
        <v>291</v>
      </c>
      <c r="J1373" s="686"/>
      <c r="K1373" s="1037"/>
      <c r="L1373" s="1037"/>
      <c r="M1373" s="1037"/>
      <c r="N1373" s="219"/>
      <c r="O1373" s="851"/>
      <c r="P1373" s="880"/>
    </row>
    <row r="1374" spans="2:16" s="146" customFormat="1" ht="18" customHeight="1" x14ac:dyDescent="0.25">
      <c r="C1374" s="301"/>
      <c r="D1374" s="1019" t="s">
        <v>446</v>
      </c>
      <c r="E1374" s="1019"/>
      <c r="F1374" s="1019"/>
      <c r="G1374" s="848">
        <f>1.5+1.5+0.8+0.8</f>
        <v>4.5999999999999996</v>
      </c>
      <c r="H1374" s="849">
        <v>0.15</v>
      </c>
      <c r="I1374" s="848">
        <f>G1374*H1374</f>
        <v>0.69</v>
      </c>
      <c r="J1374" s="666"/>
      <c r="K1374" s="1111"/>
      <c r="L1374" s="1111"/>
      <c r="M1374" s="1111"/>
      <c r="N1374" s="696"/>
      <c r="O1374" s="501"/>
      <c r="P1374" s="881"/>
    </row>
    <row r="1375" spans="2:16" s="146" customFormat="1" ht="19.5" customHeight="1" x14ac:dyDescent="0.25">
      <c r="C1375" s="237"/>
      <c r="D1375" s="1020" t="s">
        <v>447</v>
      </c>
      <c r="E1375" s="1020"/>
      <c r="F1375" s="1020"/>
      <c r="G1375" s="850">
        <f>0.9+0.9+0.8+0.8</f>
        <v>3.4000000000000004</v>
      </c>
      <c r="H1375" s="850">
        <v>0.15</v>
      </c>
      <c r="I1375" s="850">
        <f>G1375*H1375</f>
        <v>0.51</v>
      </c>
      <c r="J1375" s="666"/>
      <c r="K1375" s="1111"/>
      <c r="L1375" s="1111"/>
      <c r="M1375" s="1111"/>
      <c r="N1375" s="696"/>
      <c r="O1375" s="696"/>
      <c r="P1375" s="881"/>
    </row>
    <row r="1376" spans="2:16" s="146" customFormat="1" ht="18" customHeight="1" x14ac:dyDescent="0.25">
      <c r="C1376" s="237"/>
      <c r="D1376" s="1020" t="s">
        <v>448</v>
      </c>
      <c r="E1376" s="1020"/>
      <c r="F1376" s="1020"/>
      <c r="G1376" s="850">
        <f>0.8+0.8</f>
        <v>1.6</v>
      </c>
      <c r="H1376" s="850">
        <v>0.15</v>
      </c>
      <c r="I1376" s="850">
        <f t="shared" ref="I1376:I1378" si="12">G1376*H1376</f>
        <v>0.24</v>
      </c>
      <c r="J1376" s="667"/>
      <c r="K1376" s="1150"/>
      <c r="L1376" s="1150"/>
      <c r="M1376" s="1150"/>
      <c r="N1376" s="696"/>
      <c r="O1376" s="696"/>
      <c r="P1376" s="881"/>
    </row>
    <row r="1377" spans="2:16" s="146" customFormat="1" ht="18" customHeight="1" x14ac:dyDescent="0.25">
      <c r="C1377" s="237"/>
      <c r="D1377" s="1020" t="s">
        <v>449</v>
      </c>
      <c r="E1377" s="1020"/>
      <c r="F1377" s="1020"/>
      <c r="G1377" s="850">
        <v>0.8</v>
      </c>
      <c r="H1377" s="850">
        <v>0.15</v>
      </c>
      <c r="I1377" s="850">
        <f t="shared" si="12"/>
        <v>0.12</v>
      </c>
      <c r="J1377" s="667"/>
      <c r="K1377" s="1150"/>
      <c r="L1377" s="1150"/>
      <c r="M1377" s="1150"/>
      <c r="N1377" s="696"/>
      <c r="O1377" s="696"/>
      <c r="P1377" s="881"/>
    </row>
    <row r="1378" spans="2:16" s="146" customFormat="1" ht="24" customHeight="1" x14ac:dyDescent="0.25">
      <c r="C1378" s="237"/>
      <c r="D1378" s="1021" t="s">
        <v>481</v>
      </c>
      <c r="E1378" s="1021"/>
      <c r="F1378" s="1021"/>
      <c r="G1378" s="857">
        <f>0.8+0.8</f>
        <v>1.6</v>
      </c>
      <c r="H1378" s="852">
        <v>0.15</v>
      </c>
      <c r="I1378" s="857">
        <f t="shared" si="12"/>
        <v>0.24</v>
      </c>
      <c r="J1378" s="666"/>
      <c r="K1378" s="1150"/>
      <c r="L1378" s="1150"/>
      <c r="M1378" s="1150"/>
      <c r="N1378" s="696"/>
      <c r="O1378" s="501"/>
      <c r="P1378" s="881"/>
    </row>
    <row r="1379" spans="2:16" s="146" customFormat="1" ht="22.5" customHeight="1" x14ac:dyDescent="0.25">
      <c r="C1379" s="237"/>
      <c r="D1379" s="1022" t="s">
        <v>19</v>
      </c>
      <c r="E1379" s="1022"/>
      <c r="F1379" s="1022"/>
      <c r="G1379" s="1022"/>
      <c r="H1379" s="1022"/>
      <c r="I1379" s="854">
        <f>SUM(I1374:I1378)</f>
        <v>1.8</v>
      </c>
      <c r="J1379" s="501"/>
      <c r="K1379" s="1150"/>
      <c r="L1379" s="1150"/>
      <c r="M1379" s="1150"/>
      <c r="N1379" s="696"/>
      <c r="O1379" s="501"/>
      <c r="P1379" s="881"/>
    </row>
    <row r="1380" spans="2:16" s="146" customFormat="1" ht="23.25" customHeight="1" x14ac:dyDescent="0.25">
      <c r="C1380" s="237"/>
      <c r="D1380" s="1111"/>
      <c r="E1380" s="1111"/>
      <c r="F1380" s="1111"/>
      <c r="G1380" s="696"/>
      <c r="H1380" s="501"/>
      <c r="I1380" s="696"/>
      <c r="J1380" s="501"/>
      <c r="K1380" s="882"/>
      <c r="L1380" s="882"/>
      <c r="M1380" s="882"/>
      <c r="N1380" s="696"/>
      <c r="O1380" s="501"/>
      <c r="P1380" s="881"/>
    </row>
    <row r="1381" spans="2:16" s="611" customFormat="1" ht="23.25" customHeight="1" x14ac:dyDescent="0.25">
      <c r="C1381" s="237"/>
      <c r="D1381" s="1111"/>
      <c r="E1381" s="1111"/>
      <c r="F1381" s="1111"/>
      <c r="G1381" s="696"/>
      <c r="H1381" s="501"/>
      <c r="I1381" s="696"/>
      <c r="J1381" s="501"/>
      <c r="K1381" s="882"/>
      <c r="L1381" s="882"/>
      <c r="M1381" s="882"/>
      <c r="N1381" s="696"/>
      <c r="O1381" s="501"/>
      <c r="P1381" s="881"/>
    </row>
    <row r="1382" spans="2:16" s="611" customFormat="1" ht="23.25" customHeight="1" x14ac:dyDescent="0.25">
      <c r="C1382" s="237"/>
      <c r="D1382" s="1111"/>
      <c r="E1382" s="1111"/>
      <c r="F1382" s="1111"/>
      <c r="G1382" s="696"/>
      <c r="H1382" s="501"/>
      <c r="I1382" s="696"/>
      <c r="J1382" s="501"/>
      <c r="K1382" s="882"/>
      <c r="L1382" s="882"/>
      <c r="M1382" s="882"/>
      <c r="N1382" s="696"/>
      <c r="O1382" s="501"/>
      <c r="P1382" s="881"/>
    </row>
    <row r="1383" spans="2:16" s="146" customFormat="1" ht="27" customHeight="1" x14ac:dyDescent="0.25">
      <c r="C1383" s="237"/>
      <c r="D1383" s="1111"/>
      <c r="E1383" s="1111"/>
      <c r="F1383" s="1111"/>
      <c r="G1383" s="696"/>
      <c r="H1383" s="501"/>
      <c r="I1383" s="696"/>
      <c r="J1383" s="501"/>
      <c r="K1383" s="1355"/>
      <c r="L1383" s="1355"/>
      <c r="M1383" s="1355"/>
      <c r="N1383" s="696"/>
      <c r="O1383" s="501"/>
      <c r="P1383" s="883"/>
    </row>
    <row r="1384" spans="2:16" s="146" customFormat="1" ht="18" customHeight="1" x14ac:dyDescent="0.25">
      <c r="C1384" s="237"/>
      <c r="D1384" s="1150"/>
      <c r="E1384" s="1150"/>
      <c r="F1384" s="1150"/>
      <c r="G1384" s="696"/>
      <c r="H1384" s="501"/>
      <c r="I1384" s="696"/>
      <c r="J1384" s="501"/>
      <c r="K1384" s="524"/>
      <c r="L1384" s="451"/>
      <c r="M1384" s="451"/>
      <c r="N1384" s="452"/>
      <c r="O1384" s="302"/>
      <c r="P1384" s="303"/>
    </row>
    <row r="1385" spans="2:16" s="611" customFormat="1" ht="18" customHeight="1" thickBot="1" x14ac:dyDescent="0.3">
      <c r="C1385" s="237"/>
      <c r="D1385" s="615"/>
      <c r="E1385" s="615"/>
      <c r="F1385" s="615"/>
      <c r="G1385" s="596"/>
      <c r="H1385" s="501"/>
      <c r="I1385" s="501"/>
      <c r="J1385" s="501"/>
      <c r="K1385" s="524"/>
      <c r="L1385" s="447"/>
      <c r="M1385" s="453"/>
      <c r="N1385" s="385"/>
      <c r="O1385" s="302"/>
      <c r="P1385" s="303"/>
    </row>
    <row r="1386" spans="2:16" s="146" customFormat="1" ht="18" customHeight="1" x14ac:dyDescent="0.25">
      <c r="B1386" s="31" t="s">
        <v>34</v>
      </c>
      <c r="C1386" s="29"/>
      <c r="D1386" s="438"/>
      <c r="E1386" s="408"/>
      <c r="F1386" s="408"/>
      <c r="G1386" s="1041" t="s">
        <v>343</v>
      </c>
      <c r="H1386" s="1042"/>
      <c r="I1386" s="1042"/>
      <c r="J1386" s="1043"/>
      <c r="K1386" s="1085">
        <f>18.18</f>
        <v>18.18</v>
      </c>
      <c r="L1386" s="1086"/>
      <c r="M1386" s="171"/>
      <c r="N1386" s="171"/>
      <c r="O1386" s="98"/>
      <c r="P1386" s="99"/>
    </row>
    <row r="1387" spans="2:16" s="146" customFormat="1" ht="18" customHeight="1" x14ac:dyDescent="0.25">
      <c r="B1387" s="31" t="str">
        <f>C1371</f>
        <v>6.2</v>
      </c>
      <c r="C1387" s="29"/>
      <c r="D1387" s="438"/>
      <c r="E1387" s="408"/>
      <c r="F1387" s="408"/>
      <c r="G1387" s="1082" t="s">
        <v>344</v>
      </c>
      <c r="H1387" s="1083"/>
      <c r="I1387" s="1083"/>
      <c r="J1387" s="1084"/>
      <c r="K1387" s="1075">
        <f>K1386+O1371</f>
        <v>19.98</v>
      </c>
      <c r="L1387" s="1076"/>
      <c r="M1387" s="171"/>
      <c r="N1387" s="171"/>
      <c r="O1387" s="98"/>
      <c r="P1387" s="99"/>
    </row>
    <row r="1388" spans="2:16" s="146" customFormat="1" ht="18" customHeight="1" x14ac:dyDescent="0.25">
      <c r="C1388" s="29"/>
      <c r="D1388" s="408"/>
      <c r="E1388" s="408"/>
      <c r="F1388" s="408"/>
      <c r="G1388" s="1082" t="s">
        <v>345</v>
      </c>
      <c r="H1388" s="1083"/>
      <c r="I1388" s="1083"/>
      <c r="J1388" s="1084"/>
      <c r="K1388" s="1075">
        <f>'BM DETALHADO'!E98</f>
        <v>24</v>
      </c>
      <c r="L1388" s="1076"/>
      <c r="M1388" s="171"/>
      <c r="N1388" s="171"/>
      <c r="O1388" s="98"/>
      <c r="P1388" s="99"/>
    </row>
    <row r="1389" spans="2:16" s="146" customFormat="1" ht="18" customHeight="1" thickBot="1" x14ac:dyDescent="0.3">
      <c r="C1389" s="29"/>
      <c r="D1389" s="408"/>
      <c r="E1389" s="408"/>
      <c r="F1389" s="408"/>
      <c r="G1389" s="1077" t="s">
        <v>346</v>
      </c>
      <c r="H1389" s="1078"/>
      <c r="I1389" s="1078"/>
      <c r="J1389" s="1079"/>
      <c r="K1389" s="1068">
        <f>K1388-K1387</f>
        <v>4.0199999999999996</v>
      </c>
      <c r="L1389" s="1069"/>
      <c r="M1389" s="171"/>
      <c r="N1389" s="171"/>
      <c r="O1389" s="98"/>
      <c r="P1389" s="99"/>
    </row>
    <row r="1390" spans="2:16" s="146" customFormat="1" ht="9.9499999999999993" customHeight="1" thickBot="1" x14ac:dyDescent="0.3">
      <c r="C1390" s="21"/>
      <c r="D1390" s="22"/>
      <c r="E1390" s="22"/>
      <c r="F1390" s="22"/>
      <c r="G1390" s="360"/>
      <c r="H1390" s="360"/>
      <c r="I1390" s="360"/>
      <c r="J1390" s="360"/>
      <c r="K1390" s="361"/>
      <c r="L1390" s="361"/>
      <c r="M1390" s="22"/>
      <c r="N1390" s="22"/>
      <c r="O1390" s="100"/>
      <c r="P1390" s="101"/>
    </row>
    <row r="1391" spans="2:16" s="146" customFormat="1" ht="18" customHeight="1" x14ac:dyDescent="0.25">
      <c r="C1391" s="20" t="s">
        <v>34</v>
      </c>
      <c r="D1391" s="1052" t="s">
        <v>35</v>
      </c>
      <c r="E1391" s="1053"/>
      <c r="F1391" s="1053"/>
      <c r="G1391" s="1053"/>
      <c r="H1391" s="1053"/>
      <c r="I1391" s="1053"/>
      <c r="J1391" s="1053"/>
      <c r="K1391" s="1053"/>
      <c r="L1391" s="1053"/>
      <c r="M1391" s="1054"/>
      <c r="N1391" s="145" t="s">
        <v>0</v>
      </c>
      <c r="O1391" s="1107" t="s">
        <v>4</v>
      </c>
      <c r="P1391" s="1108"/>
    </row>
    <row r="1392" spans="2:16" s="146" customFormat="1" ht="69.75" customHeight="1" thickBot="1" x14ac:dyDescent="0.3">
      <c r="C1392" s="884" t="s">
        <v>228</v>
      </c>
      <c r="D1392" s="1359" t="str">
        <f>VLOOKUP(C1392,'BM DETALHADO'!$B$13:$D$126,2,FALSE)</f>
        <v>PARAFUSO GALVANIZADO ROSCA TOTAL, DIAM 1/2 "</v>
      </c>
      <c r="E1392" s="1360"/>
      <c r="F1392" s="1360"/>
      <c r="G1392" s="1360"/>
      <c r="H1392" s="1360"/>
      <c r="I1392" s="1360"/>
      <c r="J1392" s="1360"/>
      <c r="K1392" s="1360"/>
      <c r="L1392" s="1360"/>
      <c r="M1392" s="1361"/>
      <c r="N1392" s="885" t="str">
        <f>VLOOKUP(C1392,'BM DETALHADO'!$B$13:$D$126,3,FALSE)</f>
        <v>M</v>
      </c>
      <c r="O1392" s="1109"/>
      <c r="P1392" s="1182"/>
    </row>
    <row r="1393" spans="2:16" s="146" customFormat="1" ht="18" customHeight="1" x14ac:dyDescent="0.25">
      <c r="C1393" s="301"/>
      <c r="D1393" s="304"/>
      <c r="E1393" s="304"/>
      <c r="F1393" s="636"/>
      <c r="G1393" s="636"/>
      <c r="H1393" s="636"/>
      <c r="I1393" s="452"/>
      <c r="J1393" s="627"/>
      <c r="K1393" s="628"/>
      <c r="L1393" s="628"/>
      <c r="M1393" s="628"/>
      <c r="N1393" s="628"/>
      <c r="O1393" s="628"/>
      <c r="P1393" s="93"/>
    </row>
    <row r="1394" spans="2:16" s="146" customFormat="1" ht="18" customHeight="1" x14ac:dyDescent="0.25">
      <c r="C1394" s="237"/>
      <c r="D1394" s="1031" t="s">
        <v>308</v>
      </c>
      <c r="E1394" s="1031"/>
      <c r="F1394" s="1031"/>
      <c r="G1394" s="318" t="s">
        <v>406</v>
      </c>
      <c r="H1394" s="635" t="s">
        <v>352</v>
      </c>
      <c r="I1394" s="635" t="s">
        <v>407</v>
      </c>
      <c r="J1394" s="635"/>
      <c r="K1394" s="635" t="s">
        <v>19</v>
      </c>
      <c r="L1394" s="1132" t="s">
        <v>482</v>
      </c>
      <c r="M1394" s="1133"/>
      <c r="N1394" s="1133"/>
      <c r="O1394" s="1133"/>
      <c r="P1394" s="1134"/>
    </row>
    <row r="1395" spans="2:16" s="146" customFormat="1" ht="18" customHeight="1" x14ac:dyDescent="0.25">
      <c r="C1395" s="237"/>
      <c r="D1395" s="1023" t="s">
        <v>446</v>
      </c>
      <c r="E1395" s="1023"/>
      <c r="F1395" s="1023"/>
      <c r="G1395" s="859">
        <v>2</v>
      </c>
      <c r="H1395" s="859">
        <v>6</v>
      </c>
      <c r="I1395" s="859">
        <v>0.52</v>
      </c>
      <c r="J1395" s="858"/>
      <c r="K1395" s="859">
        <f>(G1395*H1395*I1395)</f>
        <v>6.24</v>
      </c>
      <c r="L1395" s="1132"/>
      <c r="M1395" s="1133"/>
      <c r="N1395" s="1133"/>
      <c r="O1395" s="1133"/>
      <c r="P1395" s="1134"/>
    </row>
    <row r="1396" spans="2:16" s="146" customFormat="1" ht="18" customHeight="1" x14ac:dyDescent="0.25">
      <c r="C1396" s="237"/>
      <c r="D1396" s="1023" t="s">
        <v>447</v>
      </c>
      <c r="E1396" s="1023"/>
      <c r="F1396" s="1023"/>
      <c r="G1396" s="859">
        <v>2</v>
      </c>
      <c r="H1396" s="859">
        <v>6</v>
      </c>
      <c r="I1396" s="859">
        <v>0.47</v>
      </c>
      <c r="J1396" s="858"/>
      <c r="K1396" s="859">
        <f>(G1396*H1396*I1396)</f>
        <v>5.64</v>
      </c>
      <c r="L1396" s="1132"/>
      <c r="M1396" s="1133"/>
      <c r="N1396" s="1133"/>
      <c r="O1396" s="1133"/>
      <c r="P1396" s="1134"/>
    </row>
    <row r="1397" spans="2:16" s="146" customFormat="1" ht="18" customHeight="1" x14ac:dyDescent="0.25">
      <c r="C1397" s="237"/>
      <c r="D1397" s="1023" t="s">
        <v>448</v>
      </c>
      <c r="E1397" s="1023"/>
      <c r="F1397" s="1023"/>
      <c r="G1397" s="859">
        <v>1</v>
      </c>
      <c r="H1397" s="859">
        <v>6</v>
      </c>
      <c r="I1397" s="859">
        <v>0.45</v>
      </c>
      <c r="J1397" s="698"/>
      <c r="K1397" s="859">
        <f t="shared" ref="K1397:K1401" si="13">(G1397*H1397*I1397)</f>
        <v>2.7</v>
      </c>
      <c r="L1397" s="1132"/>
      <c r="M1397" s="1133"/>
      <c r="N1397" s="1133"/>
      <c r="O1397" s="1133"/>
      <c r="P1397" s="1134"/>
    </row>
    <row r="1398" spans="2:16" s="146" customFormat="1" ht="18" customHeight="1" x14ac:dyDescent="0.25">
      <c r="C1398" s="237"/>
      <c r="D1398" s="1023" t="s">
        <v>449</v>
      </c>
      <c r="E1398" s="1023"/>
      <c r="F1398" s="1023"/>
      <c r="G1398" s="741">
        <v>2</v>
      </c>
      <c r="H1398" s="741">
        <v>6</v>
      </c>
      <c r="I1398" s="741">
        <v>0.48</v>
      </c>
      <c r="J1398" s="698"/>
      <c r="K1398" s="741">
        <f t="shared" si="13"/>
        <v>5.76</v>
      </c>
      <c r="L1398" s="1132"/>
      <c r="M1398" s="1133"/>
      <c r="N1398" s="1133"/>
      <c r="O1398" s="1133"/>
      <c r="P1398" s="1134"/>
    </row>
    <row r="1399" spans="2:16" s="146" customFormat="1" ht="18" customHeight="1" x14ac:dyDescent="0.25">
      <c r="C1399" s="237"/>
      <c r="D1399" s="1101" t="s">
        <v>481</v>
      </c>
      <c r="E1399" s="1102"/>
      <c r="F1399" s="1103"/>
      <c r="G1399" s="741">
        <v>1</v>
      </c>
      <c r="H1399" s="741">
        <v>6</v>
      </c>
      <c r="I1399" s="741">
        <v>0.45</v>
      </c>
      <c r="J1399" s="682"/>
      <c r="K1399" s="741">
        <f t="shared" si="13"/>
        <v>2.7</v>
      </c>
      <c r="L1399" s="1132"/>
      <c r="M1399" s="1133"/>
      <c r="N1399" s="1133"/>
      <c r="O1399" s="1133"/>
      <c r="P1399" s="1134"/>
    </row>
    <row r="1400" spans="2:16" s="146" customFormat="1" ht="18" customHeight="1" x14ac:dyDescent="0.25">
      <c r="C1400" s="237"/>
      <c r="D1400" s="1101"/>
      <c r="E1400" s="1102"/>
      <c r="F1400" s="1103"/>
      <c r="G1400" s="741"/>
      <c r="H1400" s="741"/>
      <c r="I1400" s="741"/>
      <c r="J1400" s="682"/>
      <c r="K1400" s="741">
        <f t="shared" si="13"/>
        <v>0</v>
      </c>
      <c r="L1400" s="1132"/>
      <c r="M1400" s="1133"/>
      <c r="N1400" s="1133"/>
      <c r="O1400" s="1133"/>
      <c r="P1400" s="1134"/>
    </row>
    <row r="1401" spans="2:16" s="146" customFormat="1" ht="18" customHeight="1" x14ac:dyDescent="0.25">
      <c r="C1401" s="237"/>
      <c r="D1401" s="1101"/>
      <c r="E1401" s="1102"/>
      <c r="F1401" s="1103"/>
      <c r="G1401" s="741"/>
      <c r="H1401" s="741"/>
      <c r="I1401" s="741"/>
      <c r="J1401" s="682"/>
      <c r="K1401" s="741">
        <f t="shared" si="13"/>
        <v>0</v>
      </c>
      <c r="L1401" s="1132"/>
      <c r="M1401" s="1133"/>
      <c r="N1401" s="1133"/>
      <c r="O1401" s="1133"/>
      <c r="P1401" s="1134"/>
    </row>
    <row r="1402" spans="2:16" s="146" customFormat="1" ht="18" customHeight="1" x14ac:dyDescent="0.25">
      <c r="C1402" s="237"/>
      <c r="D1402" s="1104"/>
      <c r="E1402" s="1105"/>
      <c r="F1402" s="1106"/>
      <c r="G1402" s="739"/>
      <c r="H1402" s="739"/>
      <c r="I1402" s="739"/>
      <c r="J1402" s="740"/>
      <c r="K1402" s="739"/>
      <c r="L1402" s="1132"/>
      <c r="M1402" s="1133"/>
      <c r="N1402" s="1133"/>
      <c r="O1402" s="1133"/>
      <c r="P1402" s="1134"/>
    </row>
    <row r="1403" spans="2:16" s="611" customFormat="1" ht="18" customHeight="1" x14ac:dyDescent="0.25">
      <c r="C1403" s="237"/>
      <c r="D1403" s="1022" t="s">
        <v>19</v>
      </c>
      <c r="E1403" s="1022"/>
      <c r="F1403" s="1022"/>
      <c r="G1403" s="1022"/>
      <c r="H1403" s="1022"/>
      <c r="I1403" s="1022"/>
      <c r="J1403" s="1022"/>
      <c r="K1403" s="665">
        <f>SUM(K1395:K1402)</f>
        <v>23.039999999999996</v>
      </c>
      <c r="P1403" s="93"/>
    </row>
    <row r="1404" spans="2:16" s="146" customFormat="1" ht="18.75" customHeight="1" x14ac:dyDescent="0.25">
      <c r="C1404" s="301"/>
      <c r="D1404" s="1143"/>
      <c r="E1404" s="1143"/>
      <c r="F1404" s="1143"/>
      <c r="G1404" s="1143"/>
      <c r="H1404" s="456"/>
      <c r="I1404" s="447"/>
      <c r="J1404" s="457"/>
      <c r="K1404" s="457"/>
      <c r="L1404" s="1137"/>
      <c r="M1404" s="1137"/>
      <c r="N1404" s="454"/>
      <c r="O1404" s="455"/>
      <c r="P1404" s="97"/>
    </row>
    <row r="1405" spans="2:16" s="611" customFormat="1" ht="18.75" customHeight="1" x14ac:dyDescent="0.25">
      <c r="C1405" s="301"/>
      <c r="D1405" s="709"/>
      <c r="E1405" s="709"/>
      <c r="F1405" s="709"/>
      <c r="G1405" s="709"/>
      <c r="H1405" s="456"/>
      <c r="I1405" s="447"/>
      <c r="J1405" s="457"/>
      <c r="K1405" s="457"/>
      <c r="L1405" s="742"/>
      <c r="M1405" s="742"/>
      <c r="N1405" s="454"/>
      <c r="O1405" s="455"/>
      <c r="P1405" s="97"/>
    </row>
    <row r="1406" spans="2:16" s="611" customFormat="1" ht="18.75" customHeight="1" x14ac:dyDescent="0.25">
      <c r="C1406" s="301"/>
      <c r="D1406" s="709"/>
      <c r="E1406" s="709"/>
      <c r="F1406" s="709"/>
      <c r="G1406" s="709"/>
      <c r="H1406" s="456"/>
      <c r="I1406" s="447"/>
      <c r="J1406" s="457"/>
      <c r="K1406" s="457"/>
      <c r="L1406" s="742"/>
      <c r="M1406" s="742"/>
      <c r="N1406" s="454"/>
      <c r="O1406" s="455"/>
      <c r="P1406" s="97"/>
    </row>
    <row r="1407" spans="2:16" s="611" customFormat="1" ht="9.9499999999999993" customHeight="1" thickBot="1" x14ac:dyDescent="0.3">
      <c r="C1407" s="301"/>
      <c r="D1407" s="685"/>
      <c r="E1407" s="685"/>
      <c r="F1407" s="685"/>
      <c r="G1407" s="685"/>
      <c r="H1407" s="456"/>
      <c r="I1407" s="447"/>
      <c r="J1407" s="457"/>
      <c r="K1407" s="457"/>
      <c r="L1407" s="358"/>
      <c r="M1407" s="358"/>
      <c r="N1407" s="454"/>
      <c r="O1407" s="455"/>
      <c r="P1407" s="97"/>
    </row>
    <row r="1408" spans="2:16" s="146" customFormat="1" ht="18" customHeight="1" x14ac:dyDescent="0.25">
      <c r="B1408" s="31" t="s">
        <v>34</v>
      </c>
      <c r="C1408" s="29"/>
      <c r="D1408" s="458"/>
      <c r="E1408" s="438"/>
      <c r="F1408" s="408"/>
      <c r="G1408" s="408"/>
      <c r="H1408" s="1041" t="s">
        <v>343</v>
      </c>
      <c r="I1408" s="1042"/>
      <c r="J1408" s="1042"/>
      <c r="K1408" s="1043"/>
      <c r="L1408" s="1085">
        <f>'[27]MEMÓRIA DE CÁLCULO'!$L$1412</f>
        <v>32</v>
      </c>
      <c r="M1408" s="1086"/>
      <c r="N1408" s="171"/>
      <c r="O1408" s="171"/>
      <c r="P1408" s="99"/>
    </row>
    <row r="1409" spans="2:16" s="146" customFormat="1" ht="18" customHeight="1" x14ac:dyDescent="0.25">
      <c r="B1409" s="31" t="str">
        <f>C1392</f>
        <v>6.3</v>
      </c>
      <c r="C1409" s="29"/>
      <c r="D1409" s="458"/>
      <c r="E1409" s="438"/>
      <c r="F1409" s="408"/>
      <c r="G1409" s="408"/>
      <c r="H1409" s="1082" t="s">
        <v>344</v>
      </c>
      <c r="I1409" s="1083"/>
      <c r="J1409" s="1083"/>
      <c r="K1409" s="1084"/>
      <c r="L1409" s="1075">
        <f>L1408+O1392</f>
        <v>32</v>
      </c>
      <c r="M1409" s="1076"/>
      <c r="N1409" s="171"/>
      <c r="O1409" s="171"/>
      <c r="P1409" s="99"/>
    </row>
    <row r="1410" spans="2:16" s="146" customFormat="1" ht="18" customHeight="1" x14ac:dyDescent="0.25">
      <c r="C1410" s="29"/>
      <c r="D1410" s="458"/>
      <c r="E1410" s="408"/>
      <c r="F1410" s="408"/>
      <c r="G1410" s="408"/>
      <c r="H1410" s="1082" t="s">
        <v>345</v>
      </c>
      <c r="I1410" s="1083"/>
      <c r="J1410" s="1083"/>
      <c r="K1410" s="1084"/>
      <c r="L1410" s="1075">
        <f>'BM DETALHADO'!E99</f>
        <v>32</v>
      </c>
      <c r="M1410" s="1076"/>
      <c r="N1410" s="171"/>
      <c r="O1410" s="171"/>
      <c r="P1410" s="99"/>
    </row>
    <row r="1411" spans="2:16" s="146" customFormat="1" ht="18" customHeight="1" thickBot="1" x14ac:dyDescent="0.3">
      <c r="C1411" s="29"/>
      <c r="D1411" s="458"/>
      <c r="E1411" s="408"/>
      <c r="F1411" s="408"/>
      <c r="G1411" s="408"/>
      <c r="H1411" s="1077" t="s">
        <v>346</v>
      </c>
      <c r="I1411" s="1078"/>
      <c r="J1411" s="1078"/>
      <c r="K1411" s="1079"/>
      <c r="L1411" s="1068">
        <f>L1410-L1409</f>
        <v>0</v>
      </c>
      <c r="M1411" s="1069"/>
      <c r="N1411" s="171"/>
      <c r="O1411" s="171"/>
      <c r="P1411" s="99"/>
    </row>
    <row r="1412" spans="2:16" s="146" customFormat="1" ht="9.9499999999999993" customHeight="1" thickBot="1" x14ac:dyDescent="0.3">
      <c r="C1412" s="21"/>
      <c r="D1412" s="22"/>
      <c r="E1412" s="22"/>
      <c r="F1412" s="22"/>
      <c r="G1412" s="360"/>
      <c r="H1412" s="360"/>
      <c r="I1412" s="360"/>
      <c r="J1412" s="360"/>
      <c r="K1412" s="361"/>
      <c r="L1412" s="361"/>
      <c r="M1412" s="22"/>
      <c r="N1412" s="22"/>
      <c r="O1412" s="100"/>
      <c r="P1412" s="101"/>
    </row>
    <row r="1413" spans="2:16" s="146" customFormat="1" ht="18" customHeight="1" x14ac:dyDescent="0.25">
      <c r="C1413" s="20" t="s">
        <v>34</v>
      </c>
      <c r="D1413" s="1052" t="s">
        <v>35</v>
      </c>
      <c r="E1413" s="1053"/>
      <c r="F1413" s="1053"/>
      <c r="G1413" s="1053"/>
      <c r="H1413" s="1053"/>
      <c r="I1413" s="1053"/>
      <c r="J1413" s="1053"/>
      <c r="K1413" s="1053"/>
      <c r="L1413" s="1053"/>
      <c r="M1413" s="1054"/>
      <c r="N1413" s="145" t="s">
        <v>0</v>
      </c>
      <c r="O1413" s="1107" t="s">
        <v>4</v>
      </c>
      <c r="P1413" s="1108"/>
    </row>
    <row r="1414" spans="2:16" s="146" customFormat="1" ht="69.95" customHeight="1" thickBot="1" x14ac:dyDescent="0.3">
      <c r="C1414" s="884" t="s">
        <v>230</v>
      </c>
      <c r="D1414" s="1359" t="str">
        <f>VLOOKUP(C1414,'BM DETALHADO'!$B$13:$D$126,2,FALSE)</f>
        <v>PORCA SEXTAVADA GALVANIZADA DIAM 1/2"</v>
      </c>
      <c r="E1414" s="1360"/>
      <c r="F1414" s="1360"/>
      <c r="G1414" s="1360"/>
      <c r="H1414" s="1360"/>
      <c r="I1414" s="1360"/>
      <c r="J1414" s="1360"/>
      <c r="K1414" s="1360"/>
      <c r="L1414" s="1360"/>
      <c r="M1414" s="1361"/>
      <c r="N1414" s="885" t="str">
        <f>VLOOKUP(C1414,'BM DETALHADO'!$B$13:$D$126,3,FALSE)</f>
        <v>UNID</v>
      </c>
      <c r="O1414" s="1109"/>
      <c r="P1414" s="1182"/>
    </row>
    <row r="1415" spans="2:16" s="146" customFormat="1" ht="9.9499999999999993" customHeight="1" x14ac:dyDescent="0.25">
      <c r="C1415" s="77"/>
      <c r="D1415" s="78"/>
      <c r="E1415" s="79"/>
      <c r="F1415" s="79"/>
      <c r="G1415" s="79"/>
      <c r="H1415" s="79"/>
      <c r="I1415" s="79"/>
      <c r="J1415" s="79"/>
      <c r="K1415" s="79"/>
      <c r="L1415" s="79"/>
      <c r="M1415" s="79"/>
      <c r="N1415" s="79"/>
      <c r="O1415" s="91"/>
      <c r="P1415" s="92"/>
    </row>
    <row r="1416" spans="2:16" s="146" customFormat="1" ht="18" customHeight="1" x14ac:dyDescent="0.25">
      <c r="C1416" s="324"/>
      <c r="D1416" s="1031" t="s">
        <v>308</v>
      </c>
      <c r="E1416" s="1031"/>
      <c r="F1416" s="1031"/>
      <c r="G1416" s="318" t="s">
        <v>405</v>
      </c>
      <c r="H1416" s="635" t="s">
        <v>352</v>
      </c>
      <c r="I1416" s="635" t="s">
        <v>19</v>
      </c>
      <c r="J1416" s="637"/>
      <c r="K1416" s="631"/>
      <c r="L1416" s="1142" t="s">
        <v>483</v>
      </c>
      <c r="M1416" s="1142"/>
      <c r="N1416" s="1142"/>
      <c r="O1416" s="1142"/>
      <c r="P1416" s="1116"/>
    </row>
    <row r="1417" spans="2:16" s="146" customFormat="1" ht="18" customHeight="1" x14ac:dyDescent="0.25">
      <c r="C1417" s="301"/>
      <c r="D1417" s="1023" t="s">
        <v>446</v>
      </c>
      <c r="E1417" s="1023"/>
      <c r="F1417" s="1023"/>
      <c r="G1417" s="672">
        <v>4</v>
      </c>
      <c r="H1417" s="848">
        <v>3</v>
      </c>
      <c r="I1417" s="672">
        <f>G1417*H1417</f>
        <v>12</v>
      </c>
      <c r="J1417" s="666"/>
      <c r="K1417" s="524"/>
      <c r="L1417" s="1142"/>
      <c r="M1417" s="1142"/>
      <c r="N1417" s="1142"/>
      <c r="O1417" s="1142"/>
      <c r="P1417" s="1116"/>
    </row>
    <row r="1418" spans="2:16" s="146" customFormat="1" ht="18" customHeight="1" x14ac:dyDescent="0.25">
      <c r="C1418" s="237"/>
      <c r="D1418" s="1023" t="s">
        <v>447</v>
      </c>
      <c r="E1418" s="1023"/>
      <c r="F1418" s="1023"/>
      <c r="G1418" s="673">
        <v>4</v>
      </c>
      <c r="H1418" s="673">
        <v>3</v>
      </c>
      <c r="I1418" s="673">
        <f t="shared" ref="I1418:I1421" si="14">G1418*H1418</f>
        <v>12</v>
      </c>
      <c r="J1418" s="666"/>
      <c r="K1418" s="524"/>
      <c r="L1418" s="1142"/>
      <c r="M1418" s="1142"/>
      <c r="N1418" s="1142"/>
      <c r="O1418" s="1142"/>
      <c r="P1418" s="1116"/>
    </row>
    <row r="1419" spans="2:16" s="146" customFormat="1" ht="18" customHeight="1" x14ac:dyDescent="0.25">
      <c r="C1419" s="237"/>
      <c r="D1419" s="1023" t="s">
        <v>448</v>
      </c>
      <c r="E1419" s="1023"/>
      <c r="F1419" s="1023"/>
      <c r="G1419" s="677">
        <v>2</v>
      </c>
      <c r="H1419" s="677">
        <v>3</v>
      </c>
      <c r="I1419" s="677">
        <f t="shared" si="14"/>
        <v>6</v>
      </c>
      <c r="J1419" s="667"/>
      <c r="K1419" s="524"/>
      <c r="L1419" s="1142"/>
      <c r="M1419" s="1142"/>
      <c r="N1419" s="1142"/>
      <c r="O1419" s="1142"/>
      <c r="P1419" s="1116"/>
    </row>
    <row r="1420" spans="2:16" s="146" customFormat="1" ht="18" customHeight="1" x14ac:dyDescent="0.25">
      <c r="C1420" s="237"/>
      <c r="D1420" s="1023" t="s">
        <v>449</v>
      </c>
      <c r="E1420" s="1023"/>
      <c r="F1420" s="1023"/>
      <c r="G1420" s="741">
        <v>4</v>
      </c>
      <c r="H1420" s="741">
        <v>3</v>
      </c>
      <c r="I1420" s="672">
        <f t="shared" si="14"/>
        <v>12</v>
      </c>
      <c r="J1420" s="667"/>
      <c r="K1420" s="524"/>
      <c r="L1420" s="1142"/>
      <c r="M1420" s="1142"/>
      <c r="N1420" s="1142"/>
      <c r="O1420" s="1142"/>
      <c r="P1420" s="1116"/>
    </row>
    <row r="1421" spans="2:16" s="146" customFormat="1" ht="18" customHeight="1" x14ac:dyDescent="0.25">
      <c r="C1421" s="237"/>
      <c r="D1421" s="1101" t="s">
        <v>481</v>
      </c>
      <c r="E1421" s="1102"/>
      <c r="F1421" s="1103"/>
      <c r="G1421" s="741">
        <v>2</v>
      </c>
      <c r="H1421" s="741">
        <v>3</v>
      </c>
      <c r="I1421" s="672">
        <f t="shared" si="14"/>
        <v>6</v>
      </c>
      <c r="J1421" s="666"/>
      <c r="K1421" s="524"/>
      <c r="L1421" s="1142"/>
      <c r="M1421" s="1142"/>
      <c r="N1421" s="1142"/>
      <c r="O1421" s="1142"/>
      <c r="P1421" s="1116"/>
    </row>
    <row r="1422" spans="2:16" s="146" customFormat="1" ht="18" customHeight="1" x14ac:dyDescent="0.25">
      <c r="C1422" s="237"/>
      <c r="D1422" s="1101"/>
      <c r="E1422" s="1102"/>
      <c r="F1422" s="1103"/>
      <c r="G1422" s="741"/>
      <c r="H1422" s="741"/>
      <c r="I1422" s="672"/>
      <c r="J1422" s="666"/>
      <c r="K1422" s="524"/>
      <c r="L1422" s="1142"/>
      <c r="M1422" s="1142"/>
      <c r="N1422" s="1142"/>
      <c r="O1422" s="1142"/>
      <c r="P1422" s="1116"/>
    </row>
    <row r="1423" spans="2:16" s="146" customFormat="1" ht="18" customHeight="1" x14ac:dyDescent="0.25">
      <c r="C1423" s="237"/>
      <c r="D1423" s="1101"/>
      <c r="E1423" s="1102"/>
      <c r="F1423" s="1103"/>
      <c r="G1423" s="741"/>
      <c r="H1423" s="741"/>
      <c r="I1423" s="741"/>
      <c r="J1423" s="666"/>
      <c r="K1423" s="524"/>
      <c r="L1423" s="1142"/>
      <c r="M1423" s="1142"/>
      <c r="N1423" s="1142"/>
      <c r="O1423" s="1142"/>
      <c r="P1423" s="1116"/>
    </row>
    <row r="1424" spans="2:16" s="146" customFormat="1" ht="18" customHeight="1" x14ac:dyDescent="0.25">
      <c r="C1424" s="237"/>
      <c r="D1424" s="1104"/>
      <c r="E1424" s="1105"/>
      <c r="F1424" s="1106"/>
      <c r="G1424" s="739"/>
      <c r="H1424" s="739"/>
      <c r="I1424" s="739"/>
      <c r="J1424" s="666"/>
      <c r="K1424" s="524"/>
      <c r="L1424" s="1142"/>
      <c r="M1424" s="1142"/>
      <c r="N1424" s="1142"/>
      <c r="O1424" s="1142"/>
      <c r="P1424" s="1116"/>
    </row>
    <row r="1425" spans="2:16" s="146" customFormat="1" ht="18" customHeight="1" x14ac:dyDescent="0.25">
      <c r="C1425" s="237"/>
      <c r="D1425" s="1031" t="s">
        <v>19</v>
      </c>
      <c r="E1425" s="1031"/>
      <c r="F1425" s="1031"/>
      <c r="G1425" s="1031"/>
      <c r="H1425" s="1031"/>
      <c r="I1425" s="472">
        <f>SUM(I1417:I1423)</f>
        <v>48</v>
      </c>
      <c r="J1425" s="325"/>
      <c r="K1425" s="664"/>
      <c r="L1425" s="1142"/>
      <c r="M1425" s="1142"/>
      <c r="N1425" s="1142"/>
      <c r="O1425" s="1142"/>
      <c r="P1425" s="1116"/>
    </row>
    <row r="1426" spans="2:16" s="146" customFormat="1" ht="18" customHeight="1" x14ac:dyDescent="0.25">
      <c r="C1426" s="237"/>
      <c r="D1426" s="325"/>
      <c r="E1426" s="325"/>
      <c r="F1426" s="325"/>
      <c r="G1426" s="325"/>
      <c r="H1426" s="325"/>
      <c r="I1426" s="325"/>
      <c r="J1426" s="325"/>
      <c r="K1426" s="664"/>
      <c r="L1426" s="1142"/>
      <c r="M1426" s="1142"/>
      <c r="N1426" s="1142"/>
      <c r="O1426" s="1142"/>
      <c r="P1426" s="1116"/>
    </row>
    <row r="1427" spans="2:16" s="146" customFormat="1" ht="22.5" customHeight="1" x14ac:dyDescent="0.25">
      <c r="C1427" s="237"/>
      <c r="D1427" s="325"/>
      <c r="E1427" s="325"/>
      <c r="F1427" s="325"/>
      <c r="G1427" s="325"/>
      <c r="H1427" s="325"/>
      <c r="I1427" s="325"/>
      <c r="J1427" s="325"/>
      <c r="K1427" s="664"/>
      <c r="L1427" s="1142"/>
      <c r="M1427" s="1142"/>
      <c r="N1427" s="1142"/>
      <c r="O1427" s="1142"/>
      <c r="P1427" s="1116"/>
    </row>
    <row r="1428" spans="2:16" s="146" customFormat="1" ht="18" customHeight="1" x14ac:dyDescent="0.25">
      <c r="C1428" s="237"/>
      <c r="D1428" s="325"/>
      <c r="E1428" s="325"/>
      <c r="F1428" s="325"/>
      <c r="G1428" s="325"/>
      <c r="H1428" s="325"/>
      <c r="I1428" s="325"/>
      <c r="J1428" s="325"/>
      <c r="K1428" s="377"/>
      <c r="L1428" s="451"/>
      <c r="M1428" s="451"/>
      <c r="N1428" s="302"/>
      <c r="O1428" s="95"/>
      <c r="P1428" s="93"/>
    </row>
    <row r="1429" spans="2:16" s="146" customFormat="1" ht="9.9499999999999993" customHeight="1" thickBot="1" x14ac:dyDescent="0.3">
      <c r="C1429" s="301"/>
      <c r="D1429" s="1143"/>
      <c r="E1429" s="1144"/>
      <c r="F1429" s="1144"/>
      <c r="G1429" s="1144"/>
      <c r="H1429" s="456"/>
      <c r="I1429" s="447"/>
      <c r="J1429" s="457"/>
      <c r="K1429" s="457"/>
      <c r="L1429" s="1145"/>
      <c r="M1429" s="1145"/>
      <c r="N1429" s="217"/>
      <c r="O1429" s="96"/>
      <c r="P1429" s="97"/>
    </row>
    <row r="1430" spans="2:16" s="146" customFormat="1" ht="18" customHeight="1" x14ac:dyDescent="0.25">
      <c r="B1430" s="31" t="s">
        <v>34</v>
      </c>
      <c r="C1430" s="29"/>
      <c r="D1430" s="458"/>
      <c r="E1430" s="438"/>
      <c r="F1430" s="408"/>
      <c r="G1430" s="408"/>
      <c r="H1430" s="1041" t="s">
        <v>343</v>
      </c>
      <c r="I1430" s="1042"/>
      <c r="J1430" s="1042"/>
      <c r="K1430" s="1043"/>
      <c r="L1430" s="1085">
        <f>'[27]MEMÓRIA DE CÁLCULO'!$L$1435</f>
        <v>400</v>
      </c>
      <c r="M1430" s="1086"/>
      <c r="N1430" s="18"/>
      <c r="O1430" s="98"/>
      <c r="P1430" s="99"/>
    </row>
    <row r="1431" spans="2:16" s="146" customFormat="1" ht="18" customHeight="1" x14ac:dyDescent="0.25">
      <c r="B1431" s="31" t="str">
        <f>C1414</f>
        <v>6.4</v>
      </c>
      <c r="C1431" s="29"/>
      <c r="D1431" s="458"/>
      <c r="E1431" s="438"/>
      <c r="F1431" s="408"/>
      <c r="G1431" s="408"/>
      <c r="H1431" s="1082" t="s">
        <v>344</v>
      </c>
      <c r="I1431" s="1083"/>
      <c r="J1431" s="1083"/>
      <c r="K1431" s="1084"/>
      <c r="L1431" s="1075">
        <f>L1430+O1414</f>
        <v>400</v>
      </c>
      <c r="M1431" s="1076"/>
      <c r="N1431" s="18"/>
      <c r="O1431" s="98"/>
      <c r="P1431" s="99"/>
    </row>
    <row r="1432" spans="2:16" s="146" customFormat="1" ht="18" customHeight="1" x14ac:dyDescent="0.25">
      <c r="C1432" s="29"/>
      <c r="D1432" s="458"/>
      <c r="E1432" s="408"/>
      <c r="F1432" s="408"/>
      <c r="G1432" s="408"/>
      <c r="H1432" s="1082" t="s">
        <v>345</v>
      </c>
      <c r="I1432" s="1083"/>
      <c r="J1432" s="1083"/>
      <c r="K1432" s="1084"/>
      <c r="L1432" s="1075">
        <f>'BM DETALHADO'!E100</f>
        <v>400</v>
      </c>
      <c r="M1432" s="1076"/>
      <c r="N1432" s="18"/>
      <c r="O1432" s="98"/>
      <c r="P1432" s="99"/>
    </row>
    <row r="1433" spans="2:16" s="146" customFormat="1" ht="18" customHeight="1" thickBot="1" x14ac:dyDescent="0.3">
      <c r="C1433" s="29"/>
      <c r="D1433" s="458"/>
      <c r="E1433" s="408"/>
      <c r="F1433" s="408"/>
      <c r="G1433" s="408"/>
      <c r="H1433" s="1077" t="s">
        <v>346</v>
      </c>
      <c r="I1433" s="1078"/>
      <c r="J1433" s="1078"/>
      <c r="K1433" s="1079"/>
      <c r="L1433" s="1068">
        <f>L1432-L1431</f>
        <v>0</v>
      </c>
      <c r="M1433" s="1069"/>
      <c r="N1433" s="18"/>
      <c r="O1433" s="98"/>
      <c r="P1433" s="99"/>
    </row>
    <row r="1434" spans="2:16" s="146" customFormat="1" ht="9.9499999999999993" customHeight="1" thickBot="1" x14ac:dyDescent="0.3">
      <c r="C1434" s="21"/>
      <c r="D1434" s="22"/>
      <c r="E1434" s="22"/>
      <c r="F1434" s="22"/>
      <c r="G1434" s="360"/>
      <c r="H1434" s="360"/>
      <c r="I1434" s="360"/>
      <c r="J1434" s="360"/>
      <c r="K1434" s="361"/>
      <c r="L1434" s="361"/>
      <c r="M1434" s="22"/>
      <c r="N1434" s="22"/>
      <c r="O1434" s="100"/>
      <c r="P1434" s="101"/>
    </row>
    <row r="1435" spans="2:16" s="146" customFormat="1" ht="18" customHeight="1" x14ac:dyDescent="0.25">
      <c r="C1435" s="20" t="s">
        <v>34</v>
      </c>
      <c r="D1435" s="1052" t="s">
        <v>35</v>
      </c>
      <c r="E1435" s="1053"/>
      <c r="F1435" s="1053"/>
      <c r="G1435" s="1053"/>
      <c r="H1435" s="1053"/>
      <c r="I1435" s="1053"/>
      <c r="J1435" s="1053"/>
      <c r="K1435" s="1053"/>
      <c r="L1435" s="1053"/>
      <c r="M1435" s="1054"/>
      <c r="N1435" s="145" t="s">
        <v>0</v>
      </c>
      <c r="O1435" s="1107" t="s">
        <v>4</v>
      </c>
      <c r="P1435" s="1108"/>
    </row>
    <row r="1436" spans="2:16" s="146" customFormat="1" ht="69.95" customHeight="1" thickBot="1" x14ac:dyDescent="0.3">
      <c r="C1436" s="261" t="s">
        <v>232</v>
      </c>
      <c r="D1436" s="1129" t="str">
        <f>VLOOKUP(C1436,'BM DETALHADO'!$B$13:$D$126,2,FALSE)</f>
        <v>FORNECIMENTO E APLICAÇÃO DE ENXERTO DE MADEIRA COM ACOMPANHAMENTO TÉCNICO</v>
      </c>
      <c r="E1436" s="1130"/>
      <c r="F1436" s="1130"/>
      <c r="G1436" s="1130"/>
      <c r="H1436" s="1130"/>
      <c r="I1436" s="1130"/>
      <c r="J1436" s="1130"/>
      <c r="K1436" s="1130"/>
      <c r="L1436" s="1130"/>
      <c r="M1436" s="1131"/>
      <c r="N1436" s="262" t="str">
        <f>VLOOKUP(C1436,'BM DETALHADO'!$B$13:$D$126,3,FALSE)</f>
        <v>DM3</v>
      </c>
      <c r="O1436" s="1218"/>
      <c r="P1436" s="1224"/>
    </row>
    <row r="1437" spans="2:16" s="146" customFormat="1" ht="9.9499999999999993" customHeight="1" x14ac:dyDescent="0.25">
      <c r="C1437" s="77"/>
      <c r="D1437" s="78"/>
      <c r="E1437" s="79"/>
      <c r="F1437" s="79"/>
      <c r="G1437" s="79"/>
      <c r="H1437" s="79"/>
      <c r="I1437" s="79"/>
      <c r="J1437" s="79"/>
      <c r="K1437" s="79"/>
      <c r="L1437" s="79"/>
      <c r="M1437" s="79"/>
      <c r="N1437" s="79"/>
      <c r="O1437" s="91"/>
      <c r="P1437" s="92"/>
    </row>
    <row r="1438" spans="2:16" s="146" customFormat="1" ht="18" customHeight="1" x14ac:dyDescent="0.25">
      <c r="C1438" s="336"/>
      <c r="D1438" s="1022" t="s">
        <v>308</v>
      </c>
      <c r="E1438" s="1022"/>
      <c r="F1438" s="727" t="s">
        <v>327</v>
      </c>
      <c r="G1438" s="727" t="s">
        <v>309</v>
      </c>
      <c r="H1438" s="460" t="s">
        <v>328</v>
      </c>
      <c r="I1438" s="1162" t="s">
        <v>353</v>
      </c>
      <c r="J1438" s="1162"/>
      <c r="K1438" s="1163" t="s">
        <v>354</v>
      </c>
      <c r="L1438" s="1163"/>
      <c r="M1438" s="461"/>
      <c r="N1438" s="380"/>
      <c r="O1438" s="717"/>
      <c r="P1438" s="93"/>
    </row>
    <row r="1439" spans="2:16" s="146" customFormat="1" ht="27" customHeight="1" x14ac:dyDescent="0.25">
      <c r="C1439" s="336"/>
      <c r="D1439" s="1019" t="s">
        <v>464</v>
      </c>
      <c r="E1439" s="1019"/>
      <c r="F1439" s="462">
        <v>11.97</v>
      </c>
      <c r="G1439" s="462">
        <v>1.1000000000000001</v>
      </c>
      <c r="H1439" s="462">
        <v>0.14000000000000001</v>
      </c>
      <c r="I1439" s="1164">
        <f>F1439*G1439*H1439</f>
        <v>1.8433800000000005</v>
      </c>
      <c r="J1439" s="1164"/>
      <c r="K1439" s="1165">
        <f>0.35*I1439</f>
        <v>0.64518300000000017</v>
      </c>
      <c r="L1439" s="1165"/>
      <c r="M1439" s="774"/>
      <c r="N1439" s="664"/>
      <c r="O1439" s="664"/>
      <c r="P1439" s="773"/>
    </row>
    <row r="1440" spans="2:16" s="611" customFormat="1" ht="25.5" customHeight="1" x14ac:dyDescent="0.25">
      <c r="C1440" s="716"/>
      <c r="D1440" s="1020" t="s">
        <v>447</v>
      </c>
      <c r="E1440" s="1020"/>
      <c r="F1440" s="463">
        <v>1.42</v>
      </c>
      <c r="G1440" s="463">
        <v>0.25</v>
      </c>
      <c r="H1440" s="463">
        <v>0.25</v>
      </c>
      <c r="I1440" s="1140">
        <f t="shared" ref="I1440:I1443" si="15">F1440*G1440*H1440</f>
        <v>8.8749999999999996E-2</v>
      </c>
      <c r="J1440" s="1140"/>
      <c r="K1440" s="1141">
        <f>1*I1440</f>
        <v>8.8749999999999996E-2</v>
      </c>
      <c r="L1440" s="1141"/>
      <c r="M1440" s="774"/>
      <c r="N1440" s="664"/>
      <c r="O1440" s="664"/>
      <c r="P1440" s="773"/>
    </row>
    <row r="1441" spans="2:19" s="611" customFormat="1" ht="24.75" customHeight="1" x14ac:dyDescent="0.25">
      <c r="C1441" s="716"/>
      <c r="D1441" s="1020" t="s">
        <v>446</v>
      </c>
      <c r="E1441" s="1020"/>
      <c r="F1441" s="463">
        <v>3.92</v>
      </c>
      <c r="G1441" s="463">
        <v>0.27</v>
      </c>
      <c r="H1441" s="463">
        <v>0.27</v>
      </c>
      <c r="I1441" s="1140">
        <f t="shared" si="15"/>
        <v>0.28576800000000002</v>
      </c>
      <c r="J1441" s="1140"/>
      <c r="K1441" s="1141">
        <f>0.15*I1441</f>
        <v>4.2865199999999999E-2</v>
      </c>
      <c r="L1441" s="1141"/>
      <c r="M1441" s="774"/>
      <c r="N1441" s="664"/>
      <c r="O1441" s="664"/>
      <c r="P1441" s="773"/>
    </row>
    <row r="1442" spans="2:19" s="611" customFormat="1" ht="24" customHeight="1" x14ac:dyDescent="0.25">
      <c r="C1442" s="716"/>
      <c r="D1442" s="1020" t="s">
        <v>449</v>
      </c>
      <c r="E1442" s="1020"/>
      <c r="F1442" s="463">
        <v>3.96</v>
      </c>
      <c r="G1442" s="463">
        <v>0.25</v>
      </c>
      <c r="H1442" s="463">
        <v>0.25</v>
      </c>
      <c r="I1442" s="1140">
        <f t="shared" si="15"/>
        <v>0.2475</v>
      </c>
      <c r="J1442" s="1140"/>
      <c r="K1442" s="1141">
        <f>0.15*I1442</f>
        <v>3.7124999999999998E-2</v>
      </c>
      <c r="L1442" s="1141"/>
      <c r="M1442" s="774"/>
      <c r="N1442" s="664"/>
      <c r="O1442" s="664"/>
      <c r="P1442" s="773"/>
    </row>
    <row r="1443" spans="2:19" s="611" customFormat="1" ht="24.75" customHeight="1" x14ac:dyDescent="0.25">
      <c r="C1443" s="716"/>
      <c r="D1443" s="1021" t="s">
        <v>465</v>
      </c>
      <c r="E1443" s="1021"/>
      <c r="F1443" s="776">
        <v>1.58</v>
      </c>
      <c r="G1443" s="776">
        <v>0.24</v>
      </c>
      <c r="H1443" s="776">
        <v>0.24</v>
      </c>
      <c r="I1443" s="1384">
        <f t="shared" si="15"/>
        <v>9.1007999999999992E-2</v>
      </c>
      <c r="J1443" s="1384"/>
      <c r="K1443" s="1147">
        <f>0.15*I1443</f>
        <v>1.3651199999999999E-2</v>
      </c>
      <c r="L1443" s="1147"/>
      <c r="M1443" s="774"/>
      <c r="N1443" s="664"/>
      <c r="O1443" s="664"/>
      <c r="P1443" s="773"/>
    </row>
    <row r="1444" spans="2:19" s="611" customFormat="1" ht="19.5" customHeight="1" x14ac:dyDescent="0.25">
      <c r="C1444" s="716"/>
      <c r="D1444" s="1022" t="s">
        <v>355</v>
      </c>
      <c r="E1444" s="1022"/>
      <c r="F1444" s="1022"/>
      <c r="G1444" s="1022"/>
      <c r="H1444" s="1022"/>
      <c r="I1444" s="1022"/>
      <c r="J1444" s="1022"/>
      <c r="K1444" s="1136">
        <f>SUM(K1439:L1443)</f>
        <v>0.82757440000000015</v>
      </c>
      <c r="L1444" s="1136"/>
      <c r="M1444" s="774"/>
      <c r="N1444" s="664"/>
      <c r="O1444" s="664"/>
      <c r="P1444" s="773"/>
    </row>
    <row r="1445" spans="2:19" s="611" customFormat="1" ht="18" customHeight="1" x14ac:dyDescent="0.25">
      <c r="C1445" s="716"/>
      <c r="D1445" s="1374" t="s">
        <v>356</v>
      </c>
      <c r="E1445" s="1374"/>
      <c r="F1445" s="1374"/>
      <c r="G1445" s="1374"/>
      <c r="H1445" s="1374"/>
      <c r="I1445" s="1374"/>
      <c r="J1445" s="1374"/>
      <c r="K1445" s="1375">
        <f>K1444*1000</f>
        <v>827.5744000000002</v>
      </c>
      <c r="L1445" s="1375"/>
      <c r="M1445" s="774"/>
      <c r="N1445" s="664"/>
      <c r="O1445" s="664"/>
      <c r="P1445" s="773"/>
    </row>
    <row r="1446" spans="2:19" s="146" customFormat="1" ht="18" customHeight="1" x14ac:dyDescent="0.25">
      <c r="C1446" s="80"/>
      <c r="D1446" s="459"/>
      <c r="E1446" s="459"/>
      <c r="F1446" s="459"/>
      <c r="G1446" s="459"/>
      <c r="H1446" s="459"/>
      <c r="I1446" s="459"/>
      <c r="J1446" s="459"/>
      <c r="K1446" s="775"/>
      <c r="L1446" s="775"/>
      <c r="M1446" s="1066" t="s">
        <v>466</v>
      </c>
      <c r="N1446" s="1066"/>
      <c r="O1446" s="1066"/>
      <c r="P1446" s="1067"/>
      <c r="R1446" s="640"/>
    </row>
    <row r="1447" spans="2:19" s="146" customFormat="1" ht="18" customHeight="1" x14ac:dyDescent="0.25">
      <c r="C1447" s="80"/>
      <c r="D1447" s="180"/>
      <c r="E1447" s="180"/>
      <c r="F1447" s="180"/>
      <c r="G1447" s="180"/>
      <c r="H1447" s="180"/>
      <c r="I1447" s="180"/>
      <c r="J1447" s="180"/>
      <c r="K1447" s="372"/>
      <c r="L1447" s="372"/>
      <c r="M1447" s="1066"/>
      <c r="N1447" s="1066"/>
      <c r="O1447" s="1066"/>
      <c r="P1447" s="1067"/>
    </row>
    <row r="1448" spans="2:19" s="146" customFormat="1" ht="18" customHeight="1" x14ac:dyDescent="0.25">
      <c r="C1448" s="80"/>
      <c r="D1448" s="535"/>
      <c r="E1448" s="535"/>
      <c r="F1448" s="535"/>
      <c r="G1448" s="535"/>
      <c r="H1448" s="535"/>
      <c r="I1448" s="535"/>
      <c r="J1448" s="535"/>
      <c r="K1448" s="535"/>
      <c r="L1448" s="704"/>
      <c r="M1448" s="1066"/>
      <c r="N1448" s="1066"/>
      <c r="O1448" s="1066"/>
      <c r="P1448" s="1067"/>
    </row>
    <row r="1449" spans="2:19" s="146" customFormat="1" ht="9.9499999999999993" customHeight="1" thickBot="1" x14ac:dyDescent="0.3">
      <c r="C1449" s="80"/>
      <c r="D1449" s="283"/>
      <c r="E1449" s="283"/>
      <c r="F1449" s="283"/>
      <c r="G1449" s="283"/>
      <c r="H1449" s="283"/>
      <c r="I1449" s="283"/>
      <c r="J1449" s="283"/>
      <c r="K1449" s="283"/>
      <c r="L1449" s="283"/>
      <c r="M1449" s="1066"/>
      <c r="N1449" s="1066"/>
      <c r="O1449" s="1066"/>
      <c r="P1449" s="1067"/>
    </row>
    <row r="1450" spans="2:19" s="146" customFormat="1" ht="18" customHeight="1" x14ac:dyDescent="0.25">
      <c r="B1450" s="31" t="s">
        <v>34</v>
      </c>
      <c r="C1450" s="29"/>
      <c r="D1450" s="438"/>
      <c r="E1450" s="408"/>
      <c r="F1450" s="408"/>
      <c r="G1450" s="1041" t="s">
        <v>343</v>
      </c>
      <c r="H1450" s="1042"/>
      <c r="I1450" s="1042"/>
      <c r="J1450" s="1043"/>
      <c r="K1450" s="1085">
        <f>'[25]MEMÓRIA DE CÁLCULO'!$K$1522</f>
        <v>4999.9999000000007</v>
      </c>
      <c r="L1450" s="1086"/>
      <c r="M1450" s="1066"/>
      <c r="N1450" s="1066"/>
      <c r="O1450" s="1066"/>
      <c r="P1450" s="1067"/>
      <c r="S1450" s="864"/>
    </row>
    <row r="1451" spans="2:19" s="146" customFormat="1" ht="18" customHeight="1" x14ac:dyDescent="0.25">
      <c r="B1451" s="31" t="str">
        <f>C1436</f>
        <v>6.5</v>
      </c>
      <c r="C1451" s="29"/>
      <c r="D1451" s="438"/>
      <c r="E1451" s="408"/>
      <c r="F1451" s="408"/>
      <c r="G1451" s="1082" t="s">
        <v>344</v>
      </c>
      <c r="H1451" s="1083"/>
      <c r="I1451" s="1083"/>
      <c r="J1451" s="1084"/>
      <c r="K1451" s="1075">
        <f>K1450+O1436</f>
        <v>4999.9999000000007</v>
      </c>
      <c r="L1451" s="1076"/>
      <c r="M1451" s="1066"/>
      <c r="N1451" s="1066"/>
      <c r="O1451" s="1066"/>
      <c r="P1451" s="1067"/>
    </row>
    <row r="1452" spans="2:19" s="146" customFormat="1" ht="18" customHeight="1" x14ac:dyDescent="0.25">
      <c r="C1452" s="29"/>
      <c r="D1452" s="408"/>
      <c r="E1452" s="408"/>
      <c r="F1452" s="408"/>
      <c r="G1452" s="1082" t="s">
        <v>345</v>
      </c>
      <c r="H1452" s="1083"/>
      <c r="I1452" s="1083"/>
      <c r="J1452" s="1084"/>
      <c r="K1452" s="1075">
        <f>VLOOKUP(C1436,'[26]BM DETALHADO'!$B$13:$E$126,4,FALSE)</f>
        <v>5000</v>
      </c>
      <c r="L1452" s="1076"/>
      <c r="M1452" s="1066"/>
      <c r="N1452" s="1066"/>
      <c r="O1452" s="1066"/>
      <c r="P1452" s="1067"/>
    </row>
    <row r="1453" spans="2:19" s="146" customFormat="1" ht="18" customHeight="1" thickBot="1" x14ac:dyDescent="0.3">
      <c r="C1453" s="29"/>
      <c r="D1453" s="408"/>
      <c r="E1453" s="408"/>
      <c r="F1453" s="408"/>
      <c r="G1453" s="1077" t="s">
        <v>346</v>
      </c>
      <c r="H1453" s="1078"/>
      <c r="I1453" s="1078"/>
      <c r="J1453" s="1079"/>
      <c r="K1453" s="1068">
        <f>K1452-K1451</f>
        <v>9.999999929277692E-5</v>
      </c>
      <c r="L1453" s="1069"/>
      <c r="M1453" s="1066"/>
      <c r="N1453" s="1066"/>
      <c r="O1453" s="1066"/>
      <c r="P1453" s="1067"/>
    </row>
    <row r="1454" spans="2:19" s="146" customFormat="1" ht="9.9499999999999993" customHeight="1" thickBot="1" x14ac:dyDescent="0.3">
      <c r="C1454" s="21"/>
      <c r="D1454" s="22"/>
      <c r="E1454" s="22"/>
      <c r="F1454" s="22"/>
      <c r="G1454" s="360"/>
      <c r="H1454" s="360"/>
      <c r="I1454" s="360"/>
      <c r="J1454" s="360"/>
      <c r="K1454" s="361"/>
      <c r="L1454" s="361"/>
      <c r="M1454" s="1387"/>
      <c r="N1454" s="1387"/>
      <c r="O1454" s="1387"/>
      <c r="P1454" s="1388"/>
    </row>
    <row r="1455" spans="2:19" s="146" customFormat="1" ht="18" customHeight="1" x14ac:dyDescent="0.25">
      <c r="C1455" s="20" t="s">
        <v>34</v>
      </c>
      <c r="D1455" s="1052" t="s">
        <v>35</v>
      </c>
      <c r="E1455" s="1053"/>
      <c r="F1455" s="1053"/>
      <c r="G1455" s="1053"/>
      <c r="H1455" s="1053"/>
      <c r="I1455" s="1053"/>
      <c r="J1455" s="1053"/>
      <c r="K1455" s="1053"/>
      <c r="L1455" s="1053"/>
      <c r="M1455" s="1054"/>
      <c r="N1455" s="145" t="s">
        <v>0</v>
      </c>
      <c r="O1455" s="1107" t="s">
        <v>4</v>
      </c>
      <c r="P1455" s="1108"/>
    </row>
    <row r="1456" spans="2:19" s="146" customFormat="1" ht="69.95" customHeight="1" thickBot="1" x14ac:dyDescent="0.3">
      <c r="C1456" s="261" t="s">
        <v>235</v>
      </c>
      <c r="D1456" s="1129" t="str">
        <f>VLOOKUP(C1456,'BM DETALHADO'!$B$13:$D$126,2,FALSE)</f>
        <v xml:space="preserve">ESTEIO OU ESTRUTURA DO TELHADO DE MADEIRA DE LEI, CEDRO , IMBUIA OU EQUIVALENTE TÉCNICO 25x25 X 7,5 m OU DEMAIS SEÇÕES </v>
      </c>
      <c r="E1456" s="1130"/>
      <c r="F1456" s="1130"/>
      <c r="G1456" s="1130"/>
      <c r="H1456" s="1130"/>
      <c r="I1456" s="1130"/>
      <c r="J1456" s="1130"/>
      <c r="K1456" s="1130"/>
      <c r="L1456" s="1130"/>
      <c r="M1456" s="1131"/>
      <c r="N1456" s="262" t="str">
        <f>VLOOKUP(C1456,'BM DETALHADO'!$B$13:$D$126,3,FALSE)</f>
        <v>M3</v>
      </c>
      <c r="O1456" s="1218">
        <f>K1466</f>
        <v>0.65907000000000004</v>
      </c>
      <c r="P1456" s="1224"/>
    </row>
    <row r="1457" spans="3:16" s="146" customFormat="1" ht="9.9499999999999993" customHeight="1" x14ac:dyDescent="0.25">
      <c r="C1457" s="77"/>
      <c r="D1457" s="78"/>
      <c r="E1457" s="79"/>
      <c r="F1457" s="79"/>
      <c r="G1457" s="79"/>
      <c r="H1457" s="79"/>
      <c r="I1457" s="79"/>
      <c r="J1457" s="79"/>
      <c r="K1457" s="79"/>
      <c r="L1457" s="79"/>
      <c r="M1457" s="79"/>
      <c r="N1457" s="79"/>
      <c r="O1457" s="91"/>
      <c r="P1457" s="92"/>
    </row>
    <row r="1458" spans="3:16" s="146" customFormat="1" ht="18" customHeight="1" x14ac:dyDescent="0.25">
      <c r="C1458" s="523"/>
      <c r="D1458" s="1023" t="s">
        <v>467</v>
      </c>
      <c r="E1458" s="1023"/>
      <c r="F1458" s="1023"/>
      <c r="G1458" s="1023"/>
      <c r="H1458" s="1023"/>
      <c r="I1458" s="1023"/>
      <c r="J1458" s="219"/>
      <c r="K1458" s="1023" t="s">
        <v>476</v>
      </c>
      <c r="L1458" s="1023"/>
      <c r="M1458" s="1023"/>
      <c r="N1458" s="1023"/>
      <c r="O1458" s="1023"/>
      <c r="P1458" s="1023"/>
    </row>
    <row r="1459" spans="3:16" s="525" customFormat="1" ht="18" customHeight="1" x14ac:dyDescent="0.25">
      <c r="C1459" s="523"/>
      <c r="D1459" s="706" t="s">
        <v>389</v>
      </c>
      <c r="E1459" s="706" t="s">
        <v>339</v>
      </c>
      <c r="F1459" s="706" t="s">
        <v>328</v>
      </c>
      <c r="G1459" s="1031" t="s">
        <v>329</v>
      </c>
      <c r="H1459" s="1031"/>
      <c r="I1459" s="706" t="s">
        <v>106</v>
      </c>
      <c r="J1459" s="630"/>
      <c r="K1459" s="844" t="s">
        <v>389</v>
      </c>
      <c r="L1459" s="844" t="s">
        <v>339</v>
      </c>
      <c r="M1459" s="844" t="s">
        <v>328</v>
      </c>
      <c r="N1459" s="1031" t="s">
        <v>329</v>
      </c>
      <c r="O1459" s="1031"/>
      <c r="P1459" s="844" t="s">
        <v>106</v>
      </c>
    </row>
    <row r="1460" spans="3:16" s="525" customFormat="1" ht="18" customHeight="1" x14ac:dyDescent="0.25">
      <c r="C1460" s="523"/>
      <c r="D1460" s="698">
        <v>5.17</v>
      </c>
      <c r="E1460" s="777">
        <v>0.17</v>
      </c>
      <c r="F1460" s="777">
        <v>0.28999999999999998</v>
      </c>
      <c r="G1460" s="1031">
        <f>D1460*E1460*F1460</f>
        <v>0.25488099999999997</v>
      </c>
      <c r="H1460" s="1031"/>
      <c r="I1460" s="706" t="s">
        <v>204</v>
      </c>
      <c r="J1460" s="630"/>
      <c r="K1460" s="698">
        <v>4.76</v>
      </c>
      <c r="L1460" s="777">
        <v>0.17</v>
      </c>
      <c r="M1460" s="777">
        <v>0.17</v>
      </c>
      <c r="N1460" s="1031">
        <f>K1460*L1460*M1460</f>
        <v>0.13756400000000002</v>
      </c>
      <c r="O1460" s="1031"/>
      <c r="P1460" s="844" t="s">
        <v>204</v>
      </c>
    </row>
    <row r="1461" spans="3:16" s="525" customFormat="1" ht="18" customHeight="1" x14ac:dyDescent="0.25">
      <c r="C1461" s="523"/>
      <c r="D1461" s="630"/>
      <c r="E1461" s="353"/>
      <c r="F1461" s="353"/>
      <c r="G1461" s="353"/>
      <c r="H1461" s="633"/>
      <c r="I1461" s="215"/>
      <c r="J1461" s="616"/>
      <c r="K1461" s="616"/>
      <c r="L1461" s="507"/>
      <c r="M1461" s="617"/>
      <c r="N1461" s="641"/>
      <c r="O1461" s="212"/>
      <c r="P1461" s="642"/>
    </row>
    <row r="1462" spans="3:16" s="525" customFormat="1" ht="18" customHeight="1" x14ac:dyDescent="0.25">
      <c r="C1462" s="523"/>
      <c r="D1462" s="1023" t="s">
        <v>468</v>
      </c>
      <c r="E1462" s="1023"/>
      <c r="F1462" s="1023"/>
      <c r="G1462" s="1023"/>
      <c r="H1462" s="1023"/>
      <c r="I1462" s="1023"/>
      <c r="J1462" s="616"/>
      <c r="K1462" s="1111"/>
      <c r="L1462" s="1111"/>
      <c r="M1462" s="1111"/>
      <c r="N1462" s="1111"/>
      <c r="O1462" s="1111"/>
      <c r="P1462" s="1135"/>
    </row>
    <row r="1463" spans="3:16" s="525" customFormat="1" ht="18" customHeight="1" x14ac:dyDescent="0.25">
      <c r="C1463" s="523"/>
      <c r="D1463" s="706" t="s">
        <v>389</v>
      </c>
      <c r="E1463" s="706" t="s">
        <v>339</v>
      </c>
      <c r="F1463" s="706" t="s">
        <v>328</v>
      </c>
      <c r="G1463" s="1031" t="s">
        <v>329</v>
      </c>
      <c r="H1463" s="1031"/>
      <c r="I1463" s="706" t="s">
        <v>106</v>
      </c>
      <c r="J1463" s="616"/>
      <c r="K1463" s="845"/>
      <c r="L1463" s="845"/>
      <c r="M1463" s="845"/>
      <c r="N1463" s="1037"/>
      <c r="O1463" s="1037"/>
      <c r="P1463" s="846"/>
    </row>
    <row r="1464" spans="3:16" s="525" customFormat="1" ht="18" customHeight="1" x14ac:dyDescent="0.25">
      <c r="C1464" s="523"/>
      <c r="D1464" s="698">
        <v>3.95</v>
      </c>
      <c r="E1464" s="777">
        <v>0.27</v>
      </c>
      <c r="F1464" s="777">
        <v>0.25</v>
      </c>
      <c r="G1464" s="1031">
        <f>D1464*E1464*F1464</f>
        <v>0.26662500000000006</v>
      </c>
      <c r="H1464" s="1031"/>
      <c r="I1464" s="706" t="s">
        <v>204</v>
      </c>
      <c r="J1464" s="616"/>
      <c r="K1464" s="865"/>
      <c r="L1464" s="507"/>
      <c r="M1464" s="617"/>
      <c r="N1464" s="1192"/>
      <c r="O1464" s="1192"/>
      <c r="P1464" s="846"/>
    </row>
    <row r="1465" spans="3:16" s="525" customFormat="1" ht="18" customHeight="1" x14ac:dyDescent="0.25">
      <c r="C1465" s="523"/>
      <c r="D1465" s="630"/>
      <c r="E1465" s="353"/>
      <c r="F1465" s="353"/>
      <c r="G1465" s="353"/>
      <c r="H1465" s="633"/>
      <c r="I1465" s="215"/>
      <c r="J1465" s="616"/>
      <c r="K1465" s="616"/>
      <c r="L1465" s="507"/>
      <c r="M1465" s="617"/>
      <c r="N1465" s="641"/>
      <c r="O1465" s="212"/>
      <c r="P1465" s="642"/>
    </row>
    <row r="1466" spans="3:16" s="146" customFormat="1" ht="18" customHeight="1" x14ac:dyDescent="0.25">
      <c r="C1466" s="523"/>
      <c r="D1466" s="630"/>
      <c r="E1466" s="633"/>
      <c r="F1466" s="633"/>
      <c r="G1466" s="633"/>
      <c r="H1466" s="633"/>
      <c r="I1466" s="464" t="s">
        <v>19</v>
      </c>
      <c r="J1466" s="508" t="s">
        <v>290</v>
      </c>
      <c r="K1466" s="754">
        <f>G1460+G1464+N1460+N1464</f>
        <v>0.65907000000000004</v>
      </c>
      <c r="L1466" s="507"/>
      <c r="M1466" s="617"/>
      <c r="N1466" s="641"/>
      <c r="O1466" s="212"/>
      <c r="P1466" s="642"/>
    </row>
    <row r="1467" spans="3:16" s="611" customFormat="1" ht="18" customHeight="1" x14ac:dyDescent="0.25">
      <c r="C1467" s="716"/>
      <c r="D1467" s="699"/>
      <c r="E1467" s="681"/>
      <c r="F1467" s="681"/>
      <c r="G1467" s="681"/>
      <c r="H1467" s="681"/>
      <c r="I1467" s="298"/>
      <c r="J1467" s="720"/>
      <c r="K1467" s="778"/>
      <c r="L1467" s="507"/>
      <c r="M1467" s="617"/>
      <c r="N1467" s="641"/>
      <c r="O1467" s="212"/>
      <c r="P1467" s="642"/>
    </row>
    <row r="1468" spans="3:16" s="611" customFormat="1" ht="18" customHeight="1" x14ac:dyDescent="0.25">
      <c r="C1468" s="716"/>
      <c r="D1468" s="699"/>
      <c r="E1468" s="681"/>
      <c r="F1468" s="681"/>
      <c r="G1468" s="681"/>
      <c r="H1468" s="681"/>
      <c r="I1468" s="298"/>
      <c r="J1468" s="720"/>
      <c r="K1468" s="778"/>
      <c r="L1468" s="507"/>
      <c r="M1468" s="617"/>
      <c r="N1468" s="641"/>
      <c r="O1468" s="212"/>
      <c r="P1468" s="642"/>
    </row>
    <row r="1469" spans="3:16" s="611" customFormat="1" ht="18" customHeight="1" x14ac:dyDescent="0.25">
      <c r="C1469" s="716"/>
      <c r="D1469" s="699"/>
      <c r="E1469" s="681"/>
      <c r="F1469" s="681"/>
      <c r="G1469" s="681"/>
      <c r="H1469" s="681"/>
      <c r="I1469" s="298"/>
      <c r="J1469" s="720"/>
      <c r="K1469" s="778"/>
      <c r="L1469" s="507"/>
      <c r="M1469" s="617"/>
      <c r="N1469" s="641"/>
      <c r="O1469" s="212"/>
      <c r="P1469" s="642"/>
    </row>
    <row r="1470" spans="3:16" s="611" customFormat="1" ht="18" customHeight="1" x14ac:dyDescent="0.25">
      <c r="C1470" s="716"/>
      <c r="D1470" s="699"/>
      <c r="E1470" s="681"/>
      <c r="F1470" s="681"/>
      <c r="G1470" s="681"/>
      <c r="H1470" s="681"/>
      <c r="I1470" s="298"/>
      <c r="J1470" s="720"/>
      <c r="K1470" s="778"/>
      <c r="L1470" s="507"/>
      <c r="M1470" s="617"/>
      <c r="N1470" s="641"/>
      <c r="O1470" s="212"/>
      <c r="P1470" s="642"/>
    </row>
    <row r="1471" spans="3:16" s="611" customFormat="1" ht="18" customHeight="1" x14ac:dyDescent="0.25">
      <c r="C1471" s="716"/>
      <c r="D1471" s="699"/>
      <c r="E1471" s="681"/>
      <c r="F1471" s="681"/>
      <c r="G1471" s="681"/>
      <c r="H1471" s="681"/>
      <c r="I1471" s="298"/>
      <c r="J1471" s="720"/>
      <c r="K1471" s="778"/>
      <c r="L1471" s="507"/>
      <c r="M1471" s="617"/>
      <c r="N1471" s="641"/>
      <c r="O1471" s="212"/>
      <c r="P1471" s="642"/>
    </row>
    <row r="1472" spans="3:16" s="611" customFormat="1" ht="9.9499999999999993" customHeight="1" thickBot="1" x14ac:dyDescent="0.3">
      <c r="C1472" s="80"/>
      <c r="D1472" s="283"/>
      <c r="E1472" s="283"/>
      <c r="F1472" s="283"/>
      <c r="G1472" s="283"/>
      <c r="H1472" s="283"/>
      <c r="I1472" s="283"/>
      <c r="J1472" s="283"/>
      <c r="K1472" s="283"/>
      <c r="L1472" s="283"/>
      <c r="M1472" s="283"/>
      <c r="N1472" s="81"/>
      <c r="O1472" s="96"/>
      <c r="P1472" s="97"/>
    </row>
    <row r="1473" spans="2:16" s="146" customFormat="1" ht="18" customHeight="1" x14ac:dyDescent="0.25">
      <c r="B1473" s="31" t="s">
        <v>34</v>
      </c>
      <c r="C1473" s="29"/>
      <c r="D1473" s="438"/>
      <c r="E1473" s="408"/>
      <c r="F1473" s="408"/>
      <c r="G1473" s="1041" t="s">
        <v>343</v>
      </c>
      <c r="H1473" s="1042"/>
      <c r="I1473" s="1042"/>
      <c r="J1473" s="1043"/>
      <c r="K1473" s="1085">
        <f>'[27]MEMÓRIA DE CÁLCULO'!$K$1479</f>
        <v>3.3241206293999999</v>
      </c>
      <c r="L1473" s="1086"/>
      <c r="M1473" s="171"/>
      <c r="N1473" s="18"/>
      <c r="O1473" s="98"/>
      <c r="P1473" s="99"/>
    </row>
    <row r="1474" spans="2:16" s="146" customFormat="1" ht="18" customHeight="1" x14ac:dyDescent="0.25">
      <c r="B1474" s="31" t="str">
        <f>C1456</f>
        <v>6.6</v>
      </c>
      <c r="C1474" s="29"/>
      <c r="D1474" s="438"/>
      <c r="E1474" s="408"/>
      <c r="F1474" s="408"/>
      <c r="G1474" s="1082" t="s">
        <v>344</v>
      </c>
      <c r="H1474" s="1083"/>
      <c r="I1474" s="1083"/>
      <c r="J1474" s="1084"/>
      <c r="K1474" s="1075">
        <f>K1473+O1456</f>
        <v>3.9831906294000001</v>
      </c>
      <c r="L1474" s="1076"/>
      <c r="M1474" s="171"/>
      <c r="N1474" s="18"/>
      <c r="O1474" s="98"/>
      <c r="P1474" s="99"/>
    </row>
    <row r="1475" spans="2:16" s="146" customFormat="1" ht="18" customHeight="1" x14ac:dyDescent="0.25">
      <c r="C1475" s="29"/>
      <c r="D1475" s="408"/>
      <c r="E1475" s="408"/>
      <c r="F1475" s="408"/>
      <c r="G1475" s="1082" t="s">
        <v>345</v>
      </c>
      <c r="H1475" s="1083"/>
      <c r="I1475" s="1083"/>
      <c r="J1475" s="1084"/>
      <c r="K1475" s="1075">
        <f>'BM DETALHADO'!E102</f>
        <v>26</v>
      </c>
      <c r="L1475" s="1076"/>
      <c r="M1475" s="171"/>
      <c r="N1475" s="18"/>
      <c r="O1475" s="98"/>
      <c r="P1475" s="99"/>
    </row>
    <row r="1476" spans="2:16" s="146" customFormat="1" ht="18" customHeight="1" thickBot="1" x14ac:dyDescent="0.3">
      <c r="C1476" s="29"/>
      <c r="D1476" s="408"/>
      <c r="E1476" s="408"/>
      <c r="F1476" s="408"/>
      <c r="G1476" s="1077" t="s">
        <v>346</v>
      </c>
      <c r="H1476" s="1078"/>
      <c r="I1476" s="1078"/>
      <c r="J1476" s="1079"/>
      <c r="K1476" s="1068">
        <f>K1475-K1474</f>
        <v>22.016809370600001</v>
      </c>
      <c r="L1476" s="1069"/>
      <c r="M1476" s="171"/>
      <c r="N1476" s="18"/>
      <c r="O1476" s="98"/>
      <c r="P1476" s="99"/>
    </row>
    <row r="1477" spans="2:16" s="146" customFormat="1" ht="9.9499999999999993" customHeight="1" thickBot="1" x14ac:dyDescent="0.3">
      <c r="C1477" s="21"/>
      <c r="D1477" s="22"/>
      <c r="E1477" s="22"/>
      <c r="F1477" s="22"/>
      <c r="G1477" s="360"/>
      <c r="H1477" s="360"/>
      <c r="I1477" s="360"/>
      <c r="J1477" s="360"/>
      <c r="K1477" s="361"/>
      <c r="L1477" s="361"/>
      <c r="M1477" s="22"/>
      <c r="N1477" s="22"/>
      <c r="O1477" s="100"/>
      <c r="P1477" s="101"/>
    </row>
    <row r="1478" spans="2:16" s="146" customFormat="1" ht="18" customHeight="1" x14ac:dyDescent="0.25">
      <c r="C1478" s="20" t="s">
        <v>34</v>
      </c>
      <c r="D1478" s="1052" t="s">
        <v>35</v>
      </c>
      <c r="E1478" s="1053"/>
      <c r="F1478" s="1053"/>
      <c r="G1478" s="1053"/>
      <c r="H1478" s="1053"/>
      <c r="I1478" s="1053"/>
      <c r="J1478" s="1053"/>
      <c r="K1478" s="1053"/>
      <c r="L1478" s="1053"/>
      <c r="M1478" s="1054"/>
      <c r="N1478" s="145" t="s">
        <v>0</v>
      </c>
      <c r="O1478" s="1107" t="s">
        <v>4</v>
      </c>
      <c r="P1478" s="1108"/>
    </row>
    <row r="1479" spans="2:16" s="146" customFormat="1" ht="69.95" customHeight="1" thickBot="1" x14ac:dyDescent="0.3">
      <c r="C1479" s="85" t="s">
        <v>237</v>
      </c>
      <c r="D1479" s="1070" t="str">
        <f>VLOOKUP(C1479,'BM DETALHADO'!$B$13:$D$126,2,FALSE)</f>
        <v>CORDÃO DE SILICONE PARA VEDAÇÃO DE ESTEIO E SAPATA DE CONCRETO</v>
      </c>
      <c r="E1479" s="1071"/>
      <c r="F1479" s="1071"/>
      <c r="G1479" s="1071"/>
      <c r="H1479" s="1071"/>
      <c r="I1479" s="1071"/>
      <c r="J1479" s="1071"/>
      <c r="K1479" s="1071"/>
      <c r="L1479" s="1071"/>
      <c r="M1479" s="1072"/>
      <c r="N1479" s="19" t="str">
        <f>VLOOKUP(C1479,'BM DETALHADO'!$B$13:$D$126,3,FALSE)</f>
        <v>M</v>
      </c>
      <c r="O1479" s="1109">
        <f>H1487</f>
        <v>4.96</v>
      </c>
      <c r="P1479" s="1110"/>
    </row>
    <row r="1480" spans="2:16" s="146" customFormat="1" ht="9.9499999999999993" customHeight="1" x14ac:dyDescent="0.25">
      <c r="C1480" s="77"/>
      <c r="D1480" s="78"/>
      <c r="E1480" s="79"/>
      <c r="F1480" s="79"/>
      <c r="G1480" s="79"/>
      <c r="H1480" s="79"/>
      <c r="I1480" s="79"/>
      <c r="J1480" s="79"/>
      <c r="K1480" s="79"/>
      <c r="L1480" s="79"/>
      <c r="M1480" s="79"/>
      <c r="N1480" s="79"/>
      <c r="O1480" s="91"/>
      <c r="P1480" s="92"/>
    </row>
    <row r="1481" spans="2:16" s="146" customFormat="1" ht="18" customHeight="1" x14ac:dyDescent="0.25">
      <c r="C1481" s="336"/>
      <c r="D1481" s="1031" t="s">
        <v>427</v>
      </c>
      <c r="E1481" s="1031"/>
      <c r="F1481" s="706" t="s">
        <v>327</v>
      </c>
      <c r="G1481" s="706" t="s">
        <v>309</v>
      </c>
      <c r="H1481" s="1087" t="s">
        <v>428</v>
      </c>
      <c r="I1481" s="1089"/>
      <c r="J1481" s="629"/>
      <c r="K1481" s="435"/>
      <c r="L1481" s="435"/>
      <c r="M1481" s="435"/>
      <c r="N1481" s="435"/>
      <c r="O1481" s="94"/>
      <c r="P1481" s="93"/>
    </row>
    <row r="1482" spans="2:16" s="146" customFormat="1" ht="18" customHeight="1" x14ac:dyDescent="0.25">
      <c r="C1482" s="202"/>
      <c r="D1482" s="1019" t="s">
        <v>446</v>
      </c>
      <c r="E1482" s="1019"/>
      <c r="F1482" s="779">
        <v>0.27</v>
      </c>
      <c r="G1482" s="779">
        <v>0.27</v>
      </c>
      <c r="H1482" s="1193">
        <f>(F1482*2)+(G1482*2)</f>
        <v>1.08</v>
      </c>
      <c r="I1482" s="1194"/>
      <c r="J1482" s="168"/>
      <c r="K1482" s="1138"/>
      <c r="L1482" s="1139"/>
      <c r="M1482" s="1146"/>
      <c r="N1482" s="1146"/>
      <c r="O1482" s="169"/>
      <c r="P1482" s="93"/>
    </row>
    <row r="1483" spans="2:16" s="525" customFormat="1" ht="18" customHeight="1" x14ac:dyDescent="0.25">
      <c r="C1483" s="202"/>
      <c r="D1483" s="1195" t="s">
        <v>447</v>
      </c>
      <c r="E1483" s="1196"/>
      <c r="F1483" s="780">
        <v>0.25</v>
      </c>
      <c r="G1483" s="780">
        <v>0.25</v>
      </c>
      <c r="H1483" s="1064">
        <f t="shared" ref="H1483:H1486" si="16">(F1483*2)+(G1483*2)</f>
        <v>1</v>
      </c>
      <c r="I1483" s="1065"/>
      <c r="J1483" s="168"/>
      <c r="K1483" s="1138"/>
      <c r="L1483" s="1139"/>
      <c r="M1483" s="1146"/>
      <c r="N1483" s="1146"/>
      <c r="O1483" s="169"/>
      <c r="P1483" s="93"/>
    </row>
    <row r="1484" spans="2:16" s="525" customFormat="1" ht="18" customHeight="1" x14ac:dyDescent="0.25">
      <c r="C1484" s="202"/>
      <c r="D1484" s="1195" t="s">
        <v>448</v>
      </c>
      <c r="E1484" s="1196"/>
      <c r="F1484" s="780">
        <v>0.28999999999999998</v>
      </c>
      <c r="G1484" s="780">
        <v>0.17</v>
      </c>
      <c r="H1484" s="1064">
        <f t="shared" si="16"/>
        <v>0.91999999999999993</v>
      </c>
      <c r="I1484" s="1065"/>
      <c r="J1484" s="168"/>
      <c r="K1484" s="1138"/>
      <c r="L1484" s="1139"/>
      <c r="M1484" s="1146"/>
      <c r="N1484" s="1146"/>
      <c r="O1484" s="169"/>
      <c r="P1484" s="93"/>
    </row>
    <row r="1485" spans="2:16" s="525" customFormat="1" ht="18" customHeight="1" x14ac:dyDescent="0.25">
      <c r="C1485" s="202"/>
      <c r="D1485" s="1020" t="s">
        <v>449</v>
      </c>
      <c r="E1485" s="1020"/>
      <c r="F1485" s="780">
        <v>0.25</v>
      </c>
      <c r="G1485" s="780">
        <v>0.25</v>
      </c>
      <c r="H1485" s="1064">
        <f t="shared" si="16"/>
        <v>1</v>
      </c>
      <c r="I1485" s="1065"/>
      <c r="J1485" s="168"/>
      <c r="K1485" s="1138"/>
      <c r="L1485" s="1139"/>
      <c r="M1485" s="1146"/>
      <c r="N1485" s="1146"/>
      <c r="O1485" s="169"/>
      <c r="P1485" s="93"/>
    </row>
    <row r="1486" spans="2:16" s="525" customFormat="1" ht="18" customHeight="1" x14ac:dyDescent="0.25">
      <c r="C1486" s="202"/>
      <c r="D1486" s="1021" t="s">
        <v>469</v>
      </c>
      <c r="E1486" s="1021"/>
      <c r="F1486" s="781">
        <v>0.24</v>
      </c>
      <c r="G1486" s="781">
        <v>0.24</v>
      </c>
      <c r="H1486" s="1197">
        <f t="shared" si="16"/>
        <v>0.96</v>
      </c>
      <c r="I1486" s="1198"/>
      <c r="J1486" s="168"/>
      <c r="K1486" s="1138"/>
      <c r="L1486" s="1139"/>
      <c r="M1486" s="1146"/>
      <c r="N1486" s="1146"/>
      <c r="O1486" s="169"/>
      <c r="P1486" s="93"/>
    </row>
    <row r="1487" spans="2:16" s="525" customFormat="1" ht="18" customHeight="1" x14ac:dyDescent="0.25">
      <c r="C1487" s="202"/>
      <c r="D1487" s="1199" t="s">
        <v>19</v>
      </c>
      <c r="E1487" s="1200"/>
      <c r="F1487" s="1200"/>
      <c r="G1487" s="1201"/>
      <c r="H1487" s="1202">
        <f>SUM(H1482:I1486)</f>
        <v>4.96</v>
      </c>
      <c r="I1487" s="1203"/>
      <c r="J1487" s="782" t="s">
        <v>65</v>
      </c>
      <c r="K1487" s="1138"/>
      <c r="L1487" s="1139"/>
      <c r="M1487" s="1146"/>
      <c r="N1487" s="1146"/>
      <c r="O1487" s="169"/>
      <c r="P1487" s="93"/>
    </row>
    <row r="1488" spans="2:16" s="525" customFormat="1" ht="18" customHeight="1" x14ac:dyDescent="0.25">
      <c r="C1488" s="202"/>
      <c r="D1488" s="267"/>
      <c r="E1488" s="267"/>
      <c r="F1488" s="643"/>
      <c r="G1488" s="643"/>
      <c r="H1488" s="643"/>
      <c r="I1488" s="643"/>
      <c r="J1488" s="168"/>
      <c r="K1488" s="1138"/>
      <c r="L1488" s="1139"/>
      <c r="M1488" s="1146"/>
      <c r="N1488" s="1146"/>
      <c r="O1488" s="169"/>
      <c r="P1488" s="93"/>
    </row>
    <row r="1489" spans="2:16" s="146" customFormat="1" ht="18" customHeight="1" x14ac:dyDescent="0.25">
      <c r="C1489" s="202"/>
      <c r="D1489" s="267"/>
      <c r="E1489" s="267"/>
      <c r="F1489" s="263"/>
      <c r="G1489" s="263"/>
      <c r="H1489" s="643"/>
      <c r="I1489" s="643"/>
      <c r="J1489" s="168"/>
      <c r="K1489" s="1138"/>
      <c r="L1489" s="1139"/>
      <c r="M1489" s="1146"/>
      <c r="N1489" s="1146"/>
      <c r="O1489" s="169"/>
      <c r="P1489" s="93"/>
    </row>
    <row r="1490" spans="2:16" s="146" customFormat="1" ht="18" customHeight="1" x14ac:dyDescent="0.25">
      <c r="C1490" s="202"/>
      <c r="D1490" s="267"/>
      <c r="E1490" s="267"/>
      <c r="F1490" s="643"/>
      <c r="G1490" s="643"/>
      <c r="H1490" s="643"/>
      <c r="I1490" s="643"/>
      <c r="J1490" s="168"/>
      <c r="K1490" s="1138"/>
      <c r="L1490" s="1139"/>
      <c r="M1490" s="1146"/>
      <c r="N1490" s="1146"/>
      <c r="O1490" s="169"/>
      <c r="P1490" s="93"/>
    </row>
    <row r="1491" spans="2:16" s="146" customFormat="1" ht="18" customHeight="1" x14ac:dyDescent="0.25">
      <c r="C1491" s="202"/>
      <c r="D1491" s="267"/>
      <c r="E1491" s="267"/>
      <c r="F1491" s="643"/>
      <c r="G1491" s="643"/>
      <c r="H1491" s="643"/>
      <c r="I1491" s="643"/>
      <c r="J1491" s="168"/>
      <c r="K1491" s="1138"/>
      <c r="L1491" s="1139"/>
      <c r="M1491" s="1146"/>
      <c r="N1491" s="1146"/>
      <c r="O1491" s="169"/>
      <c r="P1491" s="93"/>
    </row>
    <row r="1492" spans="2:16" s="146" customFormat="1" ht="18" customHeight="1" x14ac:dyDescent="0.25">
      <c r="C1492" s="80"/>
      <c r="D1492" s="219"/>
      <c r="E1492" s="219"/>
      <c r="F1492" s="219"/>
      <c r="G1492" s="219"/>
      <c r="H1492" s="299"/>
      <c r="I1492" s="299"/>
      <c r="J1492" s="644"/>
      <c r="K1492" s="435"/>
      <c r="L1492" s="435"/>
      <c r="M1492" s="435"/>
      <c r="N1492" s="435"/>
      <c r="O1492" s="94"/>
      <c r="P1492" s="93"/>
    </row>
    <row r="1493" spans="2:16" s="146" customFormat="1" ht="9.9499999999999993" customHeight="1" thickBot="1" x14ac:dyDescent="0.3">
      <c r="C1493" s="80"/>
      <c r="D1493" s="283"/>
      <c r="E1493" s="283"/>
      <c r="F1493" s="283"/>
      <c r="G1493" s="283"/>
      <c r="H1493" s="283"/>
      <c r="I1493" s="283"/>
      <c r="J1493" s="283"/>
      <c r="K1493" s="283"/>
      <c r="L1493" s="283"/>
      <c r="M1493" s="283"/>
      <c r="N1493" s="283"/>
      <c r="O1493" s="96"/>
      <c r="P1493" s="97"/>
    </row>
    <row r="1494" spans="2:16" s="146" customFormat="1" ht="18" customHeight="1" x14ac:dyDescent="0.25">
      <c r="B1494" s="31" t="s">
        <v>34</v>
      </c>
      <c r="C1494" s="29"/>
      <c r="D1494" s="438"/>
      <c r="E1494" s="408"/>
      <c r="F1494" s="408"/>
      <c r="G1494" s="1041" t="s">
        <v>343</v>
      </c>
      <c r="H1494" s="1042"/>
      <c r="I1494" s="1042"/>
      <c r="J1494" s="1043"/>
      <c r="K1494" s="1085">
        <f>'[27]MEMÓRIA DE CÁLCULO'!$K$1500</f>
        <v>42.839999999999996</v>
      </c>
      <c r="L1494" s="1086"/>
      <c r="M1494" s="171"/>
      <c r="N1494" s="171"/>
      <c r="O1494" s="98"/>
      <c r="P1494" s="99"/>
    </row>
    <row r="1495" spans="2:16" s="146" customFormat="1" ht="18" customHeight="1" x14ac:dyDescent="0.25">
      <c r="B1495" s="31" t="str">
        <f>C1479</f>
        <v>6.7</v>
      </c>
      <c r="C1495" s="29"/>
      <c r="D1495" s="438"/>
      <c r="E1495" s="408"/>
      <c r="F1495" s="408"/>
      <c r="G1495" s="1082" t="s">
        <v>344</v>
      </c>
      <c r="H1495" s="1083"/>
      <c r="I1495" s="1083"/>
      <c r="J1495" s="1084"/>
      <c r="K1495" s="1075">
        <f>K1494+O1479</f>
        <v>47.8</v>
      </c>
      <c r="L1495" s="1076"/>
      <c r="M1495" s="171"/>
      <c r="N1495" s="171"/>
      <c r="O1495" s="98"/>
      <c r="P1495" s="99"/>
    </row>
    <row r="1496" spans="2:16" s="146" customFormat="1" ht="18" customHeight="1" x14ac:dyDescent="0.25">
      <c r="C1496" s="29"/>
      <c r="D1496" s="408"/>
      <c r="E1496" s="408"/>
      <c r="F1496" s="408"/>
      <c r="G1496" s="1082" t="s">
        <v>345</v>
      </c>
      <c r="H1496" s="1083"/>
      <c r="I1496" s="1083"/>
      <c r="J1496" s="1084"/>
      <c r="K1496" s="1075">
        <f>'BM DETALHADO'!E103</f>
        <v>65</v>
      </c>
      <c r="L1496" s="1076"/>
      <c r="M1496" s="171"/>
      <c r="N1496" s="171"/>
      <c r="O1496" s="98"/>
      <c r="P1496" s="99"/>
    </row>
    <row r="1497" spans="2:16" s="146" customFormat="1" ht="18" customHeight="1" thickBot="1" x14ac:dyDescent="0.3">
      <c r="C1497" s="29"/>
      <c r="D1497" s="408"/>
      <c r="E1497" s="408"/>
      <c r="F1497" s="408"/>
      <c r="G1497" s="1077" t="s">
        <v>346</v>
      </c>
      <c r="H1497" s="1078"/>
      <c r="I1497" s="1078"/>
      <c r="J1497" s="1079"/>
      <c r="K1497" s="1068">
        <f>K1496-K1495</f>
        <v>17.200000000000003</v>
      </c>
      <c r="L1497" s="1069"/>
      <c r="M1497" s="171"/>
      <c r="N1497" s="171"/>
      <c r="O1497" s="98"/>
      <c r="P1497" s="99"/>
    </row>
    <row r="1498" spans="2:16" s="146" customFormat="1" ht="9.9499999999999993" customHeight="1" thickBot="1" x14ac:dyDescent="0.3">
      <c r="C1498" s="21"/>
      <c r="D1498" s="22"/>
      <c r="E1498" s="22"/>
      <c r="F1498" s="22"/>
      <c r="G1498" s="27"/>
      <c r="H1498" s="27"/>
      <c r="I1498" s="27"/>
      <c r="J1498" s="27"/>
      <c r="K1498" s="28"/>
      <c r="L1498" s="28"/>
      <c r="M1498" s="22"/>
      <c r="N1498" s="22"/>
      <c r="O1498" s="100"/>
      <c r="P1498" s="101"/>
    </row>
    <row r="1499" spans="2:16" s="146" customFormat="1" ht="18" customHeight="1" x14ac:dyDescent="0.25">
      <c r="C1499" s="20" t="s">
        <v>34</v>
      </c>
      <c r="D1499" s="1052" t="s">
        <v>35</v>
      </c>
      <c r="E1499" s="1053"/>
      <c r="F1499" s="1053"/>
      <c r="G1499" s="1053"/>
      <c r="H1499" s="1053"/>
      <c r="I1499" s="1053"/>
      <c r="J1499" s="1053"/>
      <c r="K1499" s="1053"/>
      <c r="L1499" s="1053"/>
      <c r="M1499" s="1054"/>
      <c r="N1499" s="145" t="s">
        <v>0</v>
      </c>
      <c r="O1499" s="1107" t="s">
        <v>4</v>
      </c>
      <c r="P1499" s="1108"/>
    </row>
    <row r="1500" spans="2:16" s="146" customFormat="1" ht="69.95" customHeight="1" thickBot="1" x14ac:dyDescent="0.3">
      <c r="C1500" s="85" t="s">
        <v>239</v>
      </c>
      <c r="D1500" s="1070" t="str">
        <f>VLOOKUP(C1500,'BM DETALHADO'!$B$13:$D$126,2,FALSE)</f>
        <v>imunização peças do telhado  , incluindo a quantidade da planilha de peças de maior seção e o novo engradamento</v>
      </c>
      <c r="E1500" s="1071"/>
      <c r="F1500" s="1071"/>
      <c r="G1500" s="1071"/>
      <c r="H1500" s="1071"/>
      <c r="I1500" s="1071"/>
      <c r="J1500" s="1071"/>
      <c r="K1500" s="1071"/>
      <c r="L1500" s="1071"/>
      <c r="M1500" s="1072"/>
      <c r="N1500" s="19" t="str">
        <f>VLOOKUP(C1500,'BM DETALHADO'!$B$13:$D$126,3,FALSE)</f>
        <v>M2</v>
      </c>
      <c r="O1500" s="1109"/>
      <c r="P1500" s="1110"/>
    </row>
    <row r="1501" spans="2:16" s="146" customFormat="1" ht="9.9499999999999993" customHeight="1" x14ac:dyDescent="0.25">
      <c r="C1501" s="77"/>
      <c r="D1501" s="78"/>
      <c r="E1501" s="79"/>
      <c r="F1501" s="79"/>
      <c r="G1501" s="79"/>
      <c r="H1501" s="79"/>
      <c r="I1501" s="79"/>
      <c r="J1501" s="79"/>
      <c r="K1501" s="79"/>
      <c r="L1501" s="79"/>
      <c r="M1501" s="79"/>
      <c r="N1501" s="79"/>
      <c r="O1501" s="91"/>
      <c r="P1501" s="92"/>
    </row>
    <row r="1502" spans="2:16" s="146" customFormat="1" ht="18" customHeight="1" x14ac:dyDescent="0.25">
      <c r="C1502" s="336"/>
      <c r="D1502" s="1031" t="s">
        <v>406</v>
      </c>
      <c r="E1502" s="1031"/>
      <c r="F1502" s="632" t="s">
        <v>327</v>
      </c>
      <c r="G1502" s="632" t="s">
        <v>309</v>
      </c>
      <c r="H1502" s="727" t="s">
        <v>328</v>
      </c>
      <c r="I1502" s="706" t="s">
        <v>291</v>
      </c>
      <c r="J1502" s="1087" t="s">
        <v>429</v>
      </c>
      <c r="K1502" s="1089"/>
      <c r="L1502" s="219"/>
      <c r="M1502" s="1115" t="s">
        <v>472</v>
      </c>
      <c r="N1502" s="1115"/>
      <c r="O1502" s="1115"/>
      <c r="P1502" s="1116"/>
    </row>
    <row r="1503" spans="2:16" s="146" customFormat="1" ht="18" customHeight="1" x14ac:dyDescent="0.25">
      <c r="C1503" s="336"/>
      <c r="D1503" s="1204" t="s">
        <v>446</v>
      </c>
      <c r="E1503" s="1205"/>
      <c r="F1503" s="783">
        <v>3.97</v>
      </c>
      <c r="G1503" s="783">
        <v>0.27</v>
      </c>
      <c r="H1503" s="784">
        <v>0.27</v>
      </c>
      <c r="I1503" s="784">
        <f>((F1503*H1503)*2)+((G1503*H1503)*2)</f>
        <v>2.2896000000000001</v>
      </c>
      <c r="J1503" s="1377" t="s">
        <v>430</v>
      </c>
      <c r="K1503" s="1378"/>
      <c r="L1503" s="630"/>
      <c r="M1503" s="1115"/>
      <c r="N1503" s="1115"/>
      <c r="O1503" s="1115"/>
      <c r="P1503" s="1116"/>
    </row>
    <row r="1504" spans="2:16" s="146" customFormat="1" ht="18" customHeight="1" x14ac:dyDescent="0.25">
      <c r="C1504" s="202"/>
      <c r="D1504" s="1379" t="s">
        <v>447</v>
      </c>
      <c r="E1504" s="1380"/>
      <c r="F1504" s="780">
        <v>3.92</v>
      </c>
      <c r="G1504" s="780">
        <v>0.25</v>
      </c>
      <c r="H1504" s="785">
        <v>0.25</v>
      </c>
      <c r="I1504" s="785">
        <f>((F1504*H1504)*2)+((G1504*H1504)*2)</f>
        <v>2.085</v>
      </c>
      <c r="J1504" s="1379" t="s">
        <v>430</v>
      </c>
      <c r="K1504" s="1380"/>
      <c r="L1504" s="646"/>
      <c r="M1504" s="1115"/>
      <c r="N1504" s="1115"/>
      <c r="O1504" s="1115"/>
      <c r="P1504" s="1116"/>
    </row>
    <row r="1505" spans="2:16" s="146" customFormat="1" ht="18" customHeight="1" x14ac:dyDescent="0.25">
      <c r="C1505" s="202"/>
      <c r="D1505" s="1195" t="s">
        <v>448</v>
      </c>
      <c r="E1505" s="1196"/>
      <c r="F1505" s="780">
        <v>5.17</v>
      </c>
      <c r="G1505" s="780">
        <v>0.17</v>
      </c>
      <c r="H1505" s="785">
        <v>0.28999999999999998</v>
      </c>
      <c r="I1505" s="787">
        <f t="shared" ref="I1505:I1511" si="17">((F1505*H1505)*2)+((G1505*H1505)*2)</f>
        <v>3.0971999999999995</v>
      </c>
      <c r="J1505" s="1379" t="s">
        <v>430</v>
      </c>
      <c r="K1505" s="1380"/>
      <c r="L1505" s="216"/>
      <c r="M1505" s="1115"/>
      <c r="N1505" s="1115"/>
      <c r="O1505" s="1115"/>
      <c r="P1505" s="1116"/>
    </row>
    <row r="1506" spans="2:16" s="146" customFormat="1" ht="18" customHeight="1" x14ac:dyDescent="0.25">
      <c r="C1506" s="202"/>
      <c r="D1506" s="1020" t="s">
        <v>449</v>
      </c>
      <c r="E1506" s="1020"/>
      <c r="F1506" s="780">
        <v>3.96</v>
      </c>
      <c r="G1506" s="780">
        <v>0.25</v>
      </c>
      <c r="H1506" s="785">
        <v>0.25</v>
      </c>
      <c r="I1506" s="787">
        <f t="shared" si="17"/>
        <v>2.105</v>
      </c>
      <c r="J1506" s="1379" t="s">
        <v>430</v>
      </c>
      <c r="K1506" s="1380"/>
      <c r="L1506" s="216"/>
      <c r="M1506" s="1115"/>
      <c r="N1506" s="1115"/>
      <c r="O1506" s="1115"/>
      <c r="P1506" s="1116"/>
    </row>
    <row r="1507" spans="2:16" s="146" customFormat="1" ht="18" customHeight="1" x14ac:dyDescent="0.25">
      <c r="C1507" s="202"/>
      <c r="D1507" s="1020" t="s">
        <v>469</v>
      </c>
      <c r="E1507" s="1020"/>
      <c r="F1507" s="786">
        <v>1.58</v>
      </c>
      <c r="G1507" s="786">
        <v>0.24</v>
      </c>
      <c r="H1507" s="786">
        <v>0.24</v>
      </c>
      <c r="I1507" s="787">
        <f t="shared" si="17"/>
        <v>0.87359999999999993</v>
      </c>
      <c r="J1507" s="1379" t="s">
        <v>430</v>
      </c>
      <c r="K1507" s="1380"/>
      <c r="L1507" s="216"/>
      <c r="M1507" s="1115"/>
      <c r="N1507" s="1115"/>
      <c r="O1507" s="1115"/>
      <c r="P1507" s="1116"/>
    </row>
    <row r="1508" spans="2:16" s="146" customFormat="1" ht="18" customHeight="1" x14ac:dyDescent="0.25">
      <c r="C1508" s="202"/>
      <c r="D1508" s="1020" t="s">
        <v>470</v>
      </c>
      <c r="E1508" s="1020"/>
      <c r="F1508" s="1383">
        <v>11.97</v>
      </c>
      <c r="G1508" s="1383">
        <v>1.1000000000000001</v>
      </c>
      <c r="H1508" s="1397"/>
      <c r="I1508" s="1398">
        <f>(F1508*G1508)*2</f>
        <v>26.334000000000003</v>
      </c>
      <c r="J1508" s="1195" t="s">
        <v>431</v>
      </c>
      <c r="K1508" s="1196"/>
      <c r="L1508" s="216"/>
      <c r="M1508" s="1115"/>
      <c r="N1508" s="1115"/>
      <c r="O1508" s="1115"/>
      <c r="P1508" s="1116"/>
    </row>
    <row r="1509" spans="2:16" s="146" customFormat="1" ht="18" customHeight="1" x14ac:dyDescent="0.25">
      <c r="C1509" s="80"/>
      <c r="D1509" s="1020"/>
      <c r="E1509" s="1020"/>
      <c r="F1509" s="1383"/>
      <c r="G1509" s="1383"/>
      <c r="H1509" s="1397"/>
      <c r="I1509" s="1398"/>
      <c r="J1509" s="1195"/>
      <c r="K1509" s="1196"/>
      <c r="L1509" s="630"/>
      <c r="M1509" s="1115"/>
      <c r="N1509" s="1115"/>
      <c r="O1509" s="1115"/>
      <c r="P1509" s="1116"/>
    </row>
    <row r="1510" spans="2:16" s="146" customFormat="1" ht="18" customHeight="1" x14ac:dyDescent="0.25">
      <c r="C1510" s="80"/>
      <c r="D1510" s="1020" t="s">
        <v>471</v>
      </c>
      <c r="E1510" s="1020"/>
      <c r="F1510" s="1383">
        <v>3.95</v>
      </c>
      <c r="G1510" s="1397">
        <v>0.27</v>
      </c>
      <c r="H1510" s="1397">
        <v>0.25</v>
      </c>
      <c r="I1510" s="1397">
        <f t="shared" si="17"/>
        <v>2.1100000000000003</v>
      </c>
      <c r="J1510" s="1195" t="s">
        <v>430</v>
      </c>
      <c r="K1510" s="1196"/>
      <c r="L1510" s="631"/>
      <c r="M1510" s="1115"/>
      <c r="N1510" s="1115"/>
      <c r="O1510" s="1115"/>
      <c r="P1510" s="1116"/>
    </row>
    <row r="1511" spans="2:16" s="611" customFormat="1" ht="18" customHeight="1" x14ac:dyDescent="0.25">
      <c r="C1511" s="80"/>
      <c r="D1511" s="1021"/>
      <c r="E1511" s="1021"/>
      <c r="F1511" s="1399"/>
      <c r="G1511" s="1400"/>
      <c r="H1511" s="1400"/>
      <c r="I1511" s="1400">
        <f t="shared" si="17"/>
        <v>0</v>
      </c>
      <c r="J1511" s="1381"/>
      <c r="K1511" s="1382"/>
      <c r="L1511" s="701"/>
      <c r="M1511" s="707"/>
      <c r="N1511" s="707"/>
      <c r="O1511" s="707"/>
      <c r="P1511" s="723"/>
    </row>
    <row r="1512" spans="2:16" s="611" customFormat="1" ht="18" customHeight="1" x14ac:dyDescent="0.25">
      <c r="C1512" s="80"/>
      <c r="D1512" s="1401" t="s">
        <v>19</v>
      </c>
      <c r="E1512" s="1402"/>
      <c r="F1512" s="1402"/>
      <c r="G1512" s="1402"/>
      <c r="H1512" s="1403"/>
      <c r="I1512" s="472">
        <f>SUM(I1503:I1511)</f>
        <v>38.894400000000005</v>
      </c>
      <c r="J1512" s="1087" t="s">
        <v>292</v>
      </c>
      <c r="K1512" s="1089"/>
      <c r="L1512" s="701"/>
      <c r="M1512" s="707"/>
      <c r="N1512" s="707"/>
      <c r="O1512" s="707"/>
      <c r="P1512" s="723"/>
    </row>
    <row r="1513" spans="2:16" s="611" customFormat="1" ht="18" customHeight="1" x14ac:dyDescent="0.25">
      <c r="C1513" s="80"/>
      <c r="D1513" s="866"/>
      <c r="E1513" s="866"/>
      <c r="F1513" s="867"/>
      <c r="G1513" s="866"/>
      <c r="H1513" s="866"/>
      <c r="I1513" s="867"/>
      <c r="J1513" s="863"/>
      <c r="K1513" s="863"/>
      <c r="L1513" s="701"/>
      <c r="M1513" s="707"/>
      <c r="N1513" s="707"/>
      <c r="O1513" s="707"/>
      <c r="P1513" s="723"/>
    </row>
    <row r="1514" spans="2:16" s="611" customFormat="1" ht="18" customHeight="1" x14ac:dyDescent="0.25">
      <c r="C1514" s="80"/>
      <c r="D1514" s="267"/>
      <c r="E1514" s="267"/>
      <c r="F1514" s="263"/>
      <c r="G1514" s="211"/>
      <c r="H1514" s="211"/>
      <c r="I1514" s="263"/>
      <c r="J1514" s="267"/>
      <c r="K1514" s="267"/>
      <c r="L1514" s="701"/>
      <c r="M1514" s="707"/>
      <c r="N1514" s="707"/>
      <c r="O1514" s="707"/>
      <c r="P1514" s="723"/>
    </row>
    <row r="1515" spans="2:16" s="146" customFormat="1" ht="18" customHeight="1" x14ac:dyDescent="0.25">
      <c r="C1515" s="80"/>
      <c r="D1515" s="267"/>
      <c r="E1515" s="267"/>
      <c r="F1515" s="263"/>
      <c r="G1515" s="211"/>
      <c r="H1515" s="211"/>
      <c r="I1515" s="263"/>
      <c r="J1515" s="267"/>
      <c r="K1515" s="267"/>
      <c r="L1515" s="631"/>
      <c r="M1515" s="222"/>
      <c r="N1515" s="631"/>
      <c r="O1515" s="220"/>
      <c r="P1515" s="213"/>
    </row>
    <row r="1516" spans="2:16" s="146" customFormat="1" ht="18" customHeight="1" x14ac:dyDescent="0.25">
      <c r="C1516" s="80"/>
      <c r="D1516" s="219"/>
      <c r="E1516" s="219"/>
      <c r="F1516" s="211"/>
      <c r="G1516" s="211"/>
      <c r="H1516" s="211"/>
      <c r="I1516" s="211"/>
      <c r="J1516" s="211"/>
      <c r="K1516" s="211"/>
      <c r="L1516" s="211"/>
      <c r="M1516" s="211"/>
      <c r="N1516" s="211"/>
      <c r="O1516" s="211"/>
      <c r="P1516" s="306"/>
    </row>
    <row r="1517" spans="2:16" s="146" customFormat="1" ht="9.9499999999999993" customHeight="1" thickBot="1" x14ac:dyDescent="0.3">
      <c r="C1517" s="80"/>
      <c r="D1517" s="211"/>
      <c r="E1517" s="211"/>
      <c r="F1517" s="211"/>
      <c r="G1517" s="211"/>
      <c r="H1517" s="211"/>
      <c r="I1517" s="211"/>
      <c r="J1517" s="211"/>
      <c r="K1517" s="211"/>
      <c r="L1517" s="211"/>
      <c r="M1517" s="211"/>
      <c r="N1517" s="211"/>
      <c r="O1517" s="223"/>
      <c r="P1517" s="224"/>
    </row>
    <row r="1518" spans="2:16" s="146" customFormat="1" ht="18" customHeight="1" x14ac:dyDescent="0.25">
      <c r="B1518" s="31" t="s">
        <v>34</v>
      </c>
      <c r="C1518" s="29"/>
      <c r="E1518" s="30"/>
      <c r="F1518" s="30"/>
      <c r="G1518" s="1041" t="s">
        <v>343</v>
      </c>
      <c r="H1518" s="1042"/>
      <c r="I1518" s="1042"/>
      <c r="J1518" s="1043"/>
      <c r="K1518" s="1085">
        <f>'[25]MEMÓRIA DE CÁLCULO'!$K$1589</f>
        <v>1028</v>
      </c>
      <c r="L1518" s="1086"/>
      <c r="M1518" s="18"/>
      <c r="N1518" s="18"/>
      <c r="O1518" s="98"/>
      <c r="P1518" s="99"/>
    </row>
    <row r="1519" spans="2:16" s="146" customFormat="1" ht="18" customHeight="1" x14ac:dyDescent="0.25">
      <c r="B1519" s="31" t="str">
        <f>C1500</f>
        <v>6.8</v>
      </c>
      <c r="C1519" s="29"/>
      <c r="E1519" s="30"/>
      <c r="F1519" s="30"/>
      <c r="G1519" s="1082" t="s">
        <v>344</v>
      </c>
      <c r="H1519" s="1083"/>
      <c r="I1519" s="1083"/>
      <c r="J1519" s="1084"/>
      <c r="K1519" s="1075">
        <f>K1518+O1500</f>
        <v>1028</v>
      </c>
      <c r="L1519" s="1076"/>
      <c r="M1519" s="18"/>
      <c r="N1519" s="18"/>
      <c r="O1519" s="98"/>
      <c r="P1519" s="99"/>
    </row>
    <row r="1520" spans="2:16" s="146" customFormat="1" ht="18" customHeight="1" x14ac:dyDescent="0.25">
      <c r="C1520" s="29"/>
      <c r="D1520" s="30"/>
      <c r="E1520" s="30"/>
      <c r="F1520" s="30"/>
      <c r="G1520" s="1082" t="s">
        <v>345</v>
      </c>
      <c r="H1520" s="1083"/>
      <c r="I1520" s="1083"/>
      <c r="J1520" s="1084"/>
      <c r="K1520" s="1075">
        <f>VLOOKUP(C1500,'[26]BM DETALHADO'!$B$13:$E$126,4,FALSE)</f>
        <v>1028</v>
      </c>
      <c r="L1520" s="1076"/>
      <c r="M1520" s="18"/>
      <c r="N1520" s="18"/>
      <c r="O1520" s="98"/>
      <c r="P1520" s="99"/>
    </row>
    <row r="1521" spans="3:16" s="146" customFormat="1" ht="18" customHeight="1" thickBot="1" x14ac:dyDescent="0.3">
      <c r="C1521" s="29"/>
      <c r="D1521" s="30"/>
      <c r="E1521" s="30"/>
      <c r="F1521" s="30"/>
      <c r="G1521" s="1077" t="s">
        <v>346</v>
      </c>
      <c r="H1521" s="1078"/>
      <c r="I1521" s="1078"/>
      <c r="J1521" s="1079"/>
      <c r="K1521" s="1068">
        <f>K1520-K1519</f>
        <v>0</v>
      </c>
      <c r="L1521" s="1069"/>
      <c r="M1521" s="18"/>
      <c r="N1521" s="18"/>
      <c r="O1521" s="98"/>
      <c r="P1521" s="99"/>
    </row>
    <row r="1522" spans="3:16" s="146" customFormat="1" ht="9.9499999999999993" customHeight="1" thickBot="1" x14ac:dyDescent="0.3">
      <c r="C1522" s="21"/>
      <c r="D1522" s="22"/>
      <c r="E1522" s="22"/>
      <c r="F1522" s="22"/>
      <c r="G1522" s="360"/>
      <c r="H1522" s="360"/>
      <c r="I1522" s="360"/>
      <c r="J1522" s="360"/>
      <c r="K1522" s="361"/>
      <c r="L1522" s="361"/>
      <c r="M1522" s="22"/>
      <c r="N1522" s="22"/>
      <c r="O1522" s="100"/>
      <c r="P1522" s="101"/>
    </row>
    <row r="1523" spans="3:16" s="146" customFormat="1" ht="18" hidden="1" customHeight="1" x14ac:dyDescent="0.25">
      <c r="C1523" s="20" t="s">
        <v>34</v>
      </c>
      <c r="D1523" s="1052" t="s">
        <v>35</v>
      </c>
      <c r="E1523" s="1053"/>
      <c r="F1523" s="1053"/>
      <c r="G1523" s="1053"/>
      <c r="H1523" s="1053"/>
      <c r="I1523" s="1053"/>
      <c r="J1523" s="1053"/>
      <c r="K1523" s="1053"/>
      <c r="L1523" s="1053"/>
      <c r="M1523" s="1054"/>
      <c r="N1523" s="145" t="s">
        <v>0</v>
      </c>
      <c r="O1523" s="1107" t="s">
        <v>4</v>
      </c>
      <c r="P1523" s="1108"/>
    </row>
    <row r="1524" spans="3:16" s="146" customFormat="1" ht="69.95" hidden="1" customHeight="1" thickBot="1" x14ac:dyDescent="0.3">
      <c r="C1524" s="85" t="s">
        <v>241</v>
      </c>
      <c r="D1524" s="1070" t="str">
        <f>VLOOKUP(C1524,'BM DETALHADO'!$B$13:$D$126,2,FALSE)</f>
        <v>EXECUÇÃO DE PASSEIO (CALÇADA) OU PISO DE CONCRETO COM CONCRETO MOLDADO IN LOCO, FEITO EM OBRA, ACABAMENTO CONVENCIONAL, ESPESSURA 10 CM, ARMADO. AF_07/2016</v>
      </c>
      <c r="E1524" s="1071"/>
      <c r="F1524" s="1071"/>
      <c r="G1524" s="1071"/>
      <c r="H1524" s="1071"/>
      <c r="I1524" s="1071"/>
      <c r="J1524" s="1071"/>
      <c r="K1524" s="1071"/>
      <c r="L1524" s="1071"/>
      <c r="M1524" s="1072"/>
      <c r="N1524" s="19" t="str">
        <f>VLOOKUP(C1524,'BM DETALHADO'!$B$13:$D$126,3,FALSE)</f>
        <v>M2</v>
      </c>
      <c r="O1524" s="1109"/>
      <c r="P1524" s="1110"/>
    </row>
    <row r="1525" spans="3:16" s="146" customFormat="1" ht="9.9499999999999993" hidden="1" customHeight="1" x14ac:dyDescent="0.25">
      <c r="C1525" s="77"/>
      <c r="D1525" s="78"/>
      <c r="E1525" s="79"/>
      <c r="F1525" s="79"/>
      <c r="G1525" s="79"/>
      <c r="H1525" s="79"/>
      <c r="I1525" s="79"/>
      <c r="J1525" s="79"/>
      <c r="K1525" s="79"/>
      <c r="L1525" s="79"/>
      <c r="M1525" s="79"/>
      <c r="N1525" s="79"/>
      <c r="O1525" s="91"/>
      <c r="P1525" s="92"/>
    </row>
    <row r="1526" spans="3:16" s="146" customFormat="1" ht="18" hidden="1" customHeight="1" x14ac:dyDescent="0.25">
      <c r="C1526" s="336"/>
      <c r="D1526" s="81"/>
      <c r="E1526" s="81"/>
      <c r="F1526" s="81"/>
      <c r="G1526" s="81"/>
      <c r="H1526" s="330"/>
      <c r="I1526" s="344"/>
      <c r="J1526" s="339"/>
      <c r="K1526" s="344"/>
      <c r="L1526" s="339"/>
      <c r="M1526" s="169"/>
      <c r="N1526" s="169"/>
      <c r="O1526" s="343"/>
      <c r="P1526" s="93"/>
    </row>
    <row r="1527" spans="3:16" s="146" customFormat="1" ht="18" hidden="1" customHeight="1" x14ac:dyDescent="0.25">
      <c r="C1527" s="336"/>
      <c r="D1527" s="333"/>
      <c r="E1527" s="333"/>
      <c r="F1527" s="333"/>
      <c r="G1527" s="333"/>
      <c r="H1527" s="330"/>
      <c r="I1527" s="330"/>
      <c r="J1527" s="330"/>
      <c r="K1527" s="330"/>
      <c r="L1527" s="330"/>
      <c r="M1527" s="330"/>
      <c r="N1527" s="330"/>
      <c r="O1527" s="94"/>
      <c r="P1527" s="93"/>
    </row>
    <row r="1528" spans="3:16" s="146" customFormat="1" ht="18" hidden="1" customHeight="1" x14ac:dyDescent="0.25">
      <c r="C1528" s="202"/>
      <c r="D1528" s="81"/>
      <c r="E1528" s="81"/>
      <c r="F1528" s="81"/>
      <c r="G1528" s="81"/>
      <c r="H1528" s="81"/>
      <c r="I1528" s="167"/>
      <c r="J1528" s="168"/>
      <c r="K1528" s="167"/>
      <c r="L1528" s="168"/>
      <c r="M1528" s="169"/>
      <c r="N1528" s="169"/>
      <c r="O1528" s="169"/>
      <c r="P1528" s="93"/>
    </row>
    <row r="1529" spans="3:16" s="146" customFormat="1" ht="18" hidden="1" customHeight="1" x14ac:dyDescent="0.25">
      <c r="C1529" s="202"/>
      <c r="D1529" s="81"/>
      <c r="E1529" s="81"/>
      <c r="F1529" s="81"/>
      <c r="G1529" s="81"/>
      <c r="H1529" s="81"/>
      <c r="I1529" s="167"/>
      <c r="J1529" s="168"/>
      <c r="K1529" s="167"/>
      <c r="L1529" s="168"/>
      <c r="M1529" s="169"/>
      <c r="N1529" s="169"/>
      <c r="O1529" s="169"/>
      <c r="P1529" s="93"/>
    </row>
    <row r="1530" spans="3:16" s="146" customFormat="1" ht="18" hidden="1" customHeight="1" x14ac:dyDescent="0.25">
      <c r="C1530" s="202"/>
      <c r="D1530" s="81"/>
      <c r="E1530" s="81"/>
      <c r="F1530" s="81"/>
      <c r="G1530" s="81"/>
      <c r="H1530" s="81"/>
      <c r="I1530" s="167"/>
      <c r="J1530" s="168"/>
      <c r="K1530" s="167"/>
      <c r="L1530" s="168"/>
      <c r="M1530" s="169"/>
      <c r="N1530" s="169"/>
      <c r="O1530" s="169"/>
      <c r="P1530" s="93"/>
    </row>
    <row r="1531" spans="3:16" s="146" customFormat="1" ht="18" hidden="1" customHeight="1" x14ac:dyDescent="0.25">
      <c r="C1531" s="202"/>
      <c r="D1531" s="81"/>
      <c r="E1531" s="81"/>
      <c r="F1531" s="81"/>
      <c r="G1531" s="81"/>
      <c r="H1531" s="81"/>
      <c r="I1531" s="167"/>
      <c r="J1531" s="168"/>
      <c r="K1531" s="167"/>
      <c r="L1531" s="168"/>
      <c r="M1531" s="169"/>
      <c r="N1531" s="169"/>
      <c r="O1531" s="169"/>
      <c r="P1531" s="93"/>
    </row>
    <row r="1532" spans="3:16" s="146" customFormat="1" ht="18" hidden="1" customHeight="1" x14ac:dyDescent="0.25">
      <c r="C1532" s="202"/>
      <c r="D1532" s="81"/>
      <c r="E1532" s="81"/>
      <c r="F1532" s="81"/>
      <c r="G1532" s="81"/>
      <c r="H1532" s="81"/>
      <c r="I1532" s="167"/>
      <c r="J1532" s="168"/>
      <c r="K1532" s="167"/>
      <c r="L1532" s="168"/>
      <c r="M1532" s="169"/>
      <c r="N1532" s="169"/>
      <c r="O1532" s="169"/>
      <c r="P1532" s="93"/>
    </row>
    <row r="1533" spans="3:16" s="146" customFormat="1" ht="18" hidden="1" customHeight="1" x14ac:dyDescent="0.25">
      <c r="C1533" s="80"/>
      <c r="D1533" s="81"/>
      <c r="E1533" s="330"/>
      <c r="F1533" s="330"/>
      <c r="G1533" s="330"/>
      <c r="H1533" s="330"/>
      <c r="I1533" s="330"/>
      <c r="J1533" s="330"/>
      <c r="K1533" s="330"/>
      <c r="L1533" s="330"/>
      <c r="M1533" s="330"/>
      <c r="N1533" s="330"/>
      <c r="O1533" s="94"/>
      <c r="P1533" s="93"/>
    </row>
    <row r="1534" spans="3:16" s="146" customFormat="1" ht="18" hidden="1" customHeight="1" x14ac:dyDescent="0.25">
      <c r="C1534" s="80"/>
      <c r="D1534" s="180"/>
      <c r="E1534" s="180"/>
      <c r="F1534" s="180"/>
      <c r="G1534" s="180"/>
      <c r="H1534" s="180"/>
      <c r="I1534" s="180"/>
      <c r="J1534" s="180"/>
      <c r="K1534" s="180"/>
      <c r="L1534" s="328"/>
      <c r="M1534" s="181"/>
      <c r="N1534" s="182"/>
      <c r="O1534" s="95"/>
      <c r="P1534" s="93"/>
    </row>
    <row r="1535" spans="3:16" s="146" customFormat="1" ht="18" hidden="1" customHeight="1" x14ac:dyDescent="0.25">
      <c r="C1535" s="80"/>
      <c r="D1535" s="331"/>
      <c r="E1535" s="331"/>
      <c r="F1535" s="331"/>
      <c r="G1535" s="331"/>
      <c r="H1535" s="331"/>
      <c r="I1535" s="331"/>
      <c r="J1535" s="331"/>
      <c r="K1535" s="331"/>
      <c r="L1535" s="328"/>
      <c r="M1535" s="332"/>
      <c r="N1535" s="328"/>
      <c r="O1535" s="95"/>
      <c r="P1535" s="93"/>
    </row>
    <row r="1536" spans="3:16" s="146" customFormat="1" ht="18" hidden="1" customHeight="1" x14ac:dyDescent="0.25">
      <c r="C1536" s="80"/>
      <c r="D1536" s="331"/>
      <c r="E1536" s="331"/>
      <c r="F1536" s="331"/>
      <c r="G1536" s="331"/>
      <c r="H1536" s="331"/>
      <c r="I1536" s="331"/>
      <c r="J1536" s="331"/>
      <c r="K1536" s="331"/>
      <c r="L1536" s="328"/>
      <c r="M1536" s="332"/>
      <c r="N1536" s="328"/>
      <c r="O1536" s="95"/>
      <c r="P1536" s="93"/>
    </row>
    <row r="1537" spans="2:16" s="146" customFormat="1" ht="18" hidden="1" customHeight="1" x14ac:dyDescent="0.25">
      <c r="C1537" s="80"/>
      <c r="D1537" s="331"/>
      <c r="E1537" s="331"/>
      <c r="F1537" s="331"/>
      <c r="G1537" s="331"/>
      <c r="H1537" s="331"/>
      <c r="I1537" s="331"/>
      <c r="J1537" s="331"/>
      <c r="K1537" s="331"/>
      <c r="L1537" s="328"/>
      <c r="M1537" s="332"/>
      <c r="N1537" s="328"/>
      <c r="O1537" s="95"/>
      <c r="P1537" s="93"/>
    </row>
    <row r="1538" spans="2:16" s="146" customFormat="1" ht="9.9499999999999993" hidden="1" customHeight="1" thickBot="1" x14ac:dyDescent="0.3">
      <c r="C1538" s="80"/>
      <c r="D1538" s="81"/>
      <c r="E1538" s="81"/>
      <c r="F1538" s="81"/>
      <c r="G1538" s="81"/>
      <c r="H1538" s="81"/>
      <c r="I1538" s="81"/>
      <c r="J1538" s="81"/>
      <c r="K1538" s="81"/>
      <c r="L1538" s="81"/>
      <c r="M1538" s="81"/>
      <c r="N1538" s="81"/>
      <c r="O1538" s="96"/>
      <c r="P1538" s="97"/>
    </row>
    <row r="1539" spans="2:16" s="146" customFormat="1" ht="18" hidden="1" customHeight="1" x14ac:dyDescent="0.25">
      <c r="B1539" s="31" t="s">
        <v>34</v>
      </c>
      <c r="C1539" s="29"/>
      <c r="E1539" s="30"/>
      <c r="F1539" s="30"/>
      <c r="G1539" s="1041" t="s">
        <v>343</v>
      </c>
      <c r="H1539" s="1042"/>
      <c r="I1539" s="1042"/>
      <c r="J1539" s="1043"/>
      <c r="K1539" s="1085">
        <v>0</v>
      </c>
      <c r="L1539" s="1086"/>
      <c r="M1539" s="18"/>
      <c r="N1539" s="18"/>
      <c r="O1539" s="98"/>
      <c r="P1539" s="99"/>
    </row>
    <row r="1540" spans="2:16" s="146" customFormat="1" ht="18" hidden="1" customHeight="1" x14ac:dyDescent="0.25">
      <c r="B1540" s="31" t="str">
        <f>C1524</f>
        <v>6.9</v>
      </c>
      <c r="C1540" s="29"/>
      <c r="E1540" s="30"/>
      <c r="F1540" s="30"/>
      <c r="G1540" s="1082" t="s">
        <v>344</v>
      </c>
      <c r="H1540" s="1083"/>
      <c r="I1540" s="1083"/>
      <c r="J1540" s="1084"/>
      <c r="K1540" s="1075">
        <f>K1539+O1524</f>
        <v>0</v>
      </c>
      <c r="L1540" s="1076"/>
      <c r="M1540" s="18"/>
      <c r="N1540" s="18"/>
      <c r="O1540" s="98"/>
      <c r="P1540" s="99"/>
    </row>
    <row r="1541" spans="2:16" s="146" customFormat="1" ht="18" hidden="1" customHeight="1" x14ac:dyDescent="0.25">
      <c r="C1541" s="29"/>
      <c r="D1541" s="30"/>
      <c r="E1541" s="30"/>
      <c r="F1541" s="30"/>
      <c r="G1541" s="1082" t="s">
        <v>345</v>
      </c>
      <c r="H1541" s="1083"/>
      <c r="I1541" s="1083"/>
      <c r="J1541" s="1084"/>
      <c r="K1541" s="1075">
        <f>'BM DETALHADO'!E105</f>
        <v>10</v>
      </c>
      <c r="L1541" s="1076"/>
      <c r="M1541" s="18"/>
      <c r="N1541" s="18"/>
      <c r="O1541" s="98"/>
      <c r="P1541" s="99"/>
    </row>
    <row r="1542" spans="2:16" s="146" customFormat="1" ht="18" hidden="1" customHeight="1" thickBot="1" x14ac:dyDescent="0.3">
      <c r="C1542" s="29"/>
      <c r="D1542" s="30"/>
      <c r="E1542" s="30"/>
      <c r="F1542" s="30"/>
      <c r="G1542" s="1077" t="s">
        <v>346</v>
      </c>
      <c r="H1542" s="1078"/>
      <c r="I1542" s="1078"/>
      <c r="J1542" s="1079"/>
      <c r="K1542" s="1068">
        <f>K1541-K1540</f>
        <v>10</v>
      </c>
      <c r="L1542" s="1069"/>
      <c r="M1542" s="18"/>
      <c r="N1542" s="18"/>
      <c r="O1542" s="98"/>
      <c r="P1542" s="99"/>
    </row>
    <row r="1543" spans="2:16" s="146" customFormat="1" ht="9.9499999999999993" hidden="1" customHeight="1" thickBot="1" x14ac:dyDescent="0.3">
      <c r="C1543" s="21"/>
      <c r="D1543" s="22"/>
      <c r="E1543" s="22"/>
      <c r="F1543" s="22"/>
      <c r="G1543" s="27"/>
      <c r="H1543" s="27"/>
      <c r="I1543" s="27"/>
      <c r="J1543" s="27"/>
      <c r="K1543" s="28"/>
      <c r="L1543" s="28"/>
      <c r="M1543" s="22"/>
      <c r="N1543" s="22"/>
      <c r="O1543" s="100"/>
      <c r="P1543" s="101"/>
    </row>
    <row r="1544" spans="2:16" s="146" customFormat="1" ht="18" customHeight="1" x14ac:dyDescent="0.25">
      <c r="C1544" s="20" t="s">
        <v>34</v>
      </c>
      <c r="D1544" s="1052" t="s">
        <v>35</v>
      </c>
      <c r="E1544" s="1053"/>
      <c r="F1544" s="1053"/>
      <c r="G1544" s="1053"/>
      <c r="H1544" s="1053"/>
      <c r="I1544" s="1053"/>
      <c r="J1544" s="1053"/>
      <c r="K1544" s="1053"/>
      <c r="L1544" s="1053"/>
      <c r="M1544" s="1054"/>
      <c r="N1544" s="145" t="s">
        <v>0</v>
      </c>
      <c r="O1544" s="1107" t="s">
        <v>4</v>
      </c>
      <c r="P1544" s="1108"/>
    </row>
    <row r="1545" spans="2:16" s="146" customFormat="1" ht="69.95" customHeight="1" thickBot="1" x14ac:dyDescent="0.3">
      <c r="C1545" s="85" t="s">
        <v>244</v>
      </c>
      <c r="D1545" s="1070" t="str">
        <f>VLOOKUP(C1545,'BM DETALHADO'!$B$13:$D$126,2,FALSE)</f>
        <v>PARA COBERTURA CERAMICA, CAIBROS E RIPAS</v>
      </c>
      <c r="E1545" s="1071"/>
      <c r="F1545" s="1071"/>
      <c r="G1545" s="1071"/>
      <c r="H1545" s="1071"/>
      <c r="I1545" s="1071"/>
      <c r="J1545" s="1071"/>
      <c r="K1545" s="1071"/>
      <c r="L1545" s="1071"/>
      <c r="M1545" s="1072"/>
      <c r="N1545" s="19" t="str">
        <f>VLOOKUP(C1545,'BM DETALHADO'!$B$13:$D$126,3,FALSE)</f>
        <v>M2</v>
      </c>
      <c r="O1545" s="1109">
        <f>I1554</f>
        <v>82.650300000000001</v>
      </c>
      <c r="P1545" s="1110"/>
    </row>
    <row r="1546" spans="2:16" s="146" customFormat="1" ht="9.9499999999999993" customHeight="1" x14ac:dyDescent="0.25">
      <c r="C1546" s="77"/>
      <c r="D1546" s="78"/>
      <c r="E1546" s="79"/>
      <c r="F1546" s="79"/>
      <c r="G1546" s="79"/>
      <c r="H1546" s="79"/>
      <c r="I1546" s="79"/>
      <c r="J1546" s="79"/>
      <c r="K1546" s="79"/>
      <c r="L1546" s="79"/>
      <c r="M1546" s="79"/>
      <c r="N1546" s="79"/>
      <c r="O1546" s="91"/>
      <c r="P1546" s="92"/>
    </row>
    <row r="1547" spans="2:16" s="146" customFormat="1" ht="18" customHeight="1" x14ac:dyDescent="0.25">
      <c r="C1547" s="336"/>
      <c r="D1547" s="1024" t="s">
        <v>475</v>
      </c>
      <c r="E1547" s="1025"/>
      <c r="F1547" s="1025"/>
      <c r="G1547" s="1025"/>
      <c r="H1547" s="1025"/>
      <c r="I1547" s="1025"/>
      <c r="J1547" s="1026"/>
      <c r="K1547" s="344"/>
      <c r="L1547" s="339"/>
      <c r="M1547" s="169"/>
      <c r="N1547" s="169"/>
      <c r="O1547" s="343"/>
      <c r="P1547" s="93"/>
    </row>
    <row r="1548" spans="2:16" s="146" customFormat="1" ht="18" customHeight="1" x14ac:dyDescent="0.25">
      <c r="C1548" s="336"/>
      <c r="D1548" s="1031" t="s">
        <v>308</v>
      </c>
      <c r="E1548" s="1031"/>
      <c r="F1548" s="844" t="s">
        <v>327</v>
      </c>
      <c r="G1548" s="844" t="s">
        <v>309</v>
      </c>
      <c r="H1548" s="844" t="s">
        <v>291</v>
      </c>
      <c r="I1548" s="872">
        <v>0.5</v>
      </c>
      <c r="J1548" s="847" t="s">
        <v>279</v>
      </c>
      <c r="K1548" s="330"/>
      <c r="L1548" s="330"/>
      <c r="M1548" s="330"/>
      <c r="N1548" s="330"/>
      <c r="O1548" s="94"/>
      <c r="P1548" s="93"/>
    </row>
    <row r="1549" spans="2:16" s="146" customFormat="1" ht="18" customHeight="1" x14ac:dyDescent="0.25">
      <c r="C1549" s="202"/>
      <c r="D1549" s="1396" t="s">
        <v>453</v>
      </c>
      <c r="E1549" s="1396"/>
      <c r="F1549" s="869">
        <v>8.49</v>
      </c>
      <c r="G1549" s="869">
        <v>5.64</v>
      </c>
      <c r="H1549" s="869">
        <f>F1549*G1549</f>
        <v>47.883600000000001</v>
      </c>
      <c r="I1549" s="869">
        <f>H1549*0.5</f>
        <v>23.941800000000001</v>
      </c>
      <c r="J1549" s="873" t="s">
        <v>292</v>
      </c>
      <c r="K1549" s="167"/>
      <c r="L1549" s="168"/>
      <c r="M1549" s="169"/>
      <c r="N1549" s="169"/>
      <c r="O1549" s="169"/>
      <c r="P1549" s="93"/>
    </row>
    <row r="1550" spans="2:16" s="146" customFormat="1" ht="18" customHeight="1" x14ac:dyDescent="0.25">
      <c r="C1550" s="202"/>
      <c r="D1550" s="1030" t="s">
        <v>454</v>
      </c>
      <c r="E1550" s="1030"/>
      <c r="F1550" s="843">
        <v>3.85</v>
      </c>
      <c r="G1550" s="843">
        <v>5.64</v>
      </c>
      <c r="H1550" s="843">
        <f t="shared" ref="H1550:H1553" si="18">F1550*G1550</f>
        <v>21.713999999999999</v>
      </c>
      <c r="I1550" s="862">
        <f t="shared" ref="I1550:I1553" si="19">H1550*0.5</f>
        <v>10.856999999999999</v>
      </c>
      <c r="J1550" s="874" t="s">
        <v>292</v>
      </c>
      <c r="K1550" s="167"/>
      <c r="L1550" s="168"/>
      <c r="M1550" s="169"/>
      <c r="N1550" s="169"/>
      <c r="O1550" s="169"/>
      <c r="P1550" s="93"/>
    </row>
    <row r="1551" spans="2:16" s="146" customFormat="1" ht="18" customHeight="1" x14ac:dyDescent="0.25">
      <c r="C1551" s="202"/>
      <c r="D1551" s="1030" t="s">
        <v>473</v>
      </c>
      <c r="E1551" s="1030"/>
      <c r="F1551" s="843">
        <v>8.25</v>
      </c>
      <c r="G1551" s="843">
        <v>7.3</v>
      </c>
      <c r="H1551" s="843">
        <f t="shared" si="18"/>
        <v>60.225000000000001</v>
      </c>
      <c r="I1551" s="862">
        <f t="shared" si="19"/>
        <v>30.112500000000001</v>
      </c>
      <c r="J1551" s="874" t="s">
        <v>292</v>
      </c>
      <c r="K1551" s="167"/>
      <c r="L1551" s="168"/>
      <c r="M1551" s="169"/>
      <c r="N1551" s="169"/>
      <c r="O1551" s="169"/>
      <c r="P1551" s="93"/>
    </row>
    <row r="1552" spans="2:16" s="146" customFormat="1" ht="18" customHeight="1" x14ac:dyDescent="0.25">
      <c r="C1552" s="202"/>
      <c r="D1552" s="1030" t="s">
        <v>474</v>
      </c>
      <c r="E1552" s="1030"/>
      <c r="F1552" s="1383">
        <v>4.8600000000000003</v>
      </c>
      <c r="G1552" s="1383">
        <f>G1551</f>
        <v>7.3</v>
      </c>
      <c r="H1552" s="1383">
        <f t="shared" si="18"/>
        <v>35.478000000000002</v>
      </c>
      <c r="I1552" s="1027">
        <f t="shared" si="19"/>
        <v>17.739000000000001</v>
      </c>
      <c r="J1552" s="875" t="s">
        <v>292</v>
      </c>
      <c r="K1552" s="167"/>
      <c r="L1552" s="168"/>
      <c r="M1552" s="169"/>
      <c r="N1552" s="169"/>
      <c r="O1552" s="169"/>
      <c r="P1552" s="93"/>
    </row>
    <row r="1553" spans="2:16" s="146" customFormat="1" ht="18" customHeight="1" x14ac:dyDescent="0.25">
      <c r="C1553" s="202"/>
      <c r="D1553" s="1035"/>
      <c r="E1553" s="1035"/>
      <c r="F1553" s="1027"/>
      <c r="G1553" s="1027"/>
      <c r="H1553" s="1027">
        <f t="shared" si="18"/>
        <v>0</v>
      </c>
      <c r="I1553" s="1028">
        <f t="shared" si="19"/>
        <v>0</v>
      </c>
      <c r="J1553" s="876" t="s">
        <v>292</v>
      </c>
      <c r="K1553" s="167"/>
      <c r="L1553" s="168"/>
      <c r="M1553" s="169"/>
      <c r="N1553" s="169"/>
      <c r="O1553" s="169"/>
      <c r="P1553" s="93"/>
    </row>
    <row r="1554" spans="2:16" s="146" customFormat="1" ht="18" customHeight="1" x14ac:dyDescent="0.25">
      <c r="C1554" s="80"/>
      <c r="D1554" s="1374" t="s">
        <v>19</v>
      </c>
      <c r="E1554" s="1374"/>
      <c r="F1554" s="1374"/>
      <c r="G1554" s="1374"/>
      <c r="H1554" s="877">
        <f>SUM(H1549:H1553)</f>
        <v>165.3006</v>
      </c>
      <c r="I1554" s="868">
        <f>SUM(I1549:I1553)</f>
        <v>82.650300000000001</v>
      </c>
      <c r="J1554" s="860" t="s">
        <v>292</v>
      </c>
      <c r="K1554" s="330"/>
      <c r="L1554" s="330"/>
      <c r="M1554" s="330"/>
      <c r="N1554" s="330"/>
      <c r="O1554" s="94"/>
      <c r="P1554" s="93"/>
    </row>
    <row r="1555" spans="2:16" s="146" customFormat="1" ht="18" customHeight="1" x14ac:dyDescent="0.25">
      <c r="C1555" s="80"/>
      <c r="D1555" s="180"/>
      <c r="E1555" s="180"/>
      <c r="F1555" s="180"/>
      <c r="G1555" s="180"/>
      <c r="H1555" s="180"/>
      <c r="I1555" s="180"/>
      <c r="J1555" s="180"/>
      <c r="K1555" s="180"/>
      <c r="L1555" s="328"/>
      <c r="M1555" s="181"/>
      <c r="N1555" s="182"/>
      <c r="O1555" s="95"/>
      <c r="P1555" s="93"/>
    </row>
    <row r="1556" spans="2:16" s="146" customFormat="1" ht="18" customHeight="1" x14ac:dyDescent="0.25">
      <c r="C1556" s="80"/>
      <c r="D1556" s="331"/>
      <c r="E1556" s="331"/>
      <c r="F1556" s="331"/>
      <c r="G1556" s="331"/>
      <c r="H1556" s="331"/>
      <c r="I1556" s="331"/>
      <c r="J1556" s="331"/>
      <c r="K1556" s="331"/>
      <c r="L1556" s="328"/>
      <c r="M1556" s="332"/>
      <c r="N1556" s="328"/>
      <c r="O1556" s="95"/>
      <c r="P1556" s="93"/>
    </row>
    <row r="1557" spans="2:16" s="146" customFormat="1" ht="18" customHeight="1" x14ac:dyDescent="0.25">
      <c r="C1557" s="80"/>
      <c r="D1557" s="331"/>
      <c r="E1557" s="331"/>
      <c r="F1557" s="331"/>
      <c r="G1557" s="331"/>
      <c r="H1557" s="331"/>
      <c r="I1557" s="331"/>
      <c r="J1557" s="331"/>
      <c r="K1557" s="331"/>
      <c r="L1557" s="328"/>
      <c r="M1557" s="332"/>
      <c r="N1557" s="328"/>
      <c r="O1557" s="95"/>
      <c r="P1557" s="93"/>
    </row>
    <row r="1558" spans="2:16" s="146" customFormat="1" ht="18" customHeight="1" x14ac:dyDescent="0.25">
      <c r="C1558" s="80"/>
      <c r="D1558" s="331"/>
      <c r="E1558" s="331"/>
      <c r="F1558" s="331"/>
      <c r="G1558" s="331"/>
      <c r="H1558" s="331"/>
      <c r="I1558" s="331"/>
      <c r="J1558" s="331"/>
      <c r="K1558" s="331"/>
      <c r="L1558" s="328"/>
      <c r="M1558" s="332"/>
      <c r="N1558" s="328"/>
      <c r="O1558" s="95"/>
      <c r="P1558" s="93"/>
    </row>
    <row r="1559" spans="2:16" s="146" customFormat="1" ht="9.9499999999999993" customHeight="1" thickBot="1" x14ac:dyDescent="0.3">
      <c r="C1559" s="80"/>
      <c r="D1559" s="81"/>
      <c r="E1559" s="81"/>
      <c r="F1559" s="81"/>
      <c r="G1559" s="81"/>
      <c r="H1559" s="81"/>
      <c r="I1559" s="81"/>
      <c r="J1559" s="81"/>
      <c r="K1559" s="81"/>
      <c r="L1559" s="81"/>
      <c r="M1559" s="81"/>
      <c r="N1559" s="81"/>
      <c r="O1559" s="96"/>
      <c r="P1559" s="97"/>
    </row>
    <row r="1560" spans="2:16" s="146" customFormat="1" ht="18" customHeight="1" x14ac:dyDescent="0.25">
      <c r="B1560" s="31" t="s">
        <v>34</v>
      </c>
      <c r="C1560" s="29"/>
      <c r="E1560" s="30"/>
      <c r="F1560" s="30"/>
      <c r="G1560" s="1041" t="s">
        <v>343</v>
      </c>
      <c r="H1560" s="1042"/>
      <c r="I1560" s="1042"/>
      <c r="J1560" s="1043"/>
      <c r="K1560" s="1085">
        <v>0</v>
      </c>
      <c r="L1560" s="1086"/>
      <c r="M1560" s="18"/>
      <c r="N1560" s="18"/>
      <c r="O1560" s="98"/>
      <c r="P1560" s="99"/>
    </row>
    <row r="1561" spans="2:16" s="146" customFormat="1" ht="18" customHeight="1" x14ac:dyDescent="0.25">
      <c r="B1561" s="31" t="str">
        <f>C1545</f>
        <v>6.10</v>
      </c>
      <c r="C1561" s="29"/>
      <c r="E1561" s="30"/>
      <c r="F1561" s="30"/>
      <c r="G1561" s="1082" t="s">
        <v>344</v>
      </c>
      <c r="H1561" s="1083"/>
      <c r="I1561" s="1083"/>
      <c r="J1561" s="1084"/>
      <c r="K1561" s="1075">
        <f>K1560+O1545</f>
        <v>82.650300000000001</v>
      </c>
      <c r="L1561" s="1076"/>
      <c r="M1561" s="18"/>
      <c r="N1561" s="18"/>
      <c r="O1561" s="98"/>
      <c r="P1561" s="99"/>
    </row>
    <row r="1562" spans="2:16" s="146" customFormat="1" ht="18" customHeight="1" x14ac:dyDescent="0.25">
      <c r="C1562" s="29"/>
      <c r="D1562" s="30"/>
      <c r="E1562" s="30"/>
      <c r="F1562" s="30"/>
      <c r="G1562" s="1082" t="s">
        <v>345</v>
      </c>
      <c r="H1562" s="1083"/>
      <c r="I1562" s="1083"/>
      <c r="J1562" s="1084"/>
      <c r="K1562" s="1075">
        <f>'BM DETALHADO'!E107</f>
        <v>569.24</v>
      </c>
      <c r="L1562" s="1076"/>
      <c r="M1562" s="18"/>
      <c r="N1562" s="18"/>
      <c r="O1562" s="98"/>
      <c r="P1562" s="99"/>
    </row>
    <row r="1563" spans="2:16" s="146" customFormat="1" ht="18" customHeight="1" thickBot="1" x14ac:dyDescent="0.3">
      <c r="C1563" s="29"/>
      <c r="D1563" s="30"/>
      <c r="E1563" s="30"/>
      <c r="F1563" s="30"/>
      <c r="G1563" s="1077" t="s">
        <v>346</v>
      </c>
      <c r="H1563" s="1078"/>
      <c r="I1563" s="1078"/>
      <c r="J1563" s="1079"/>
      <c r="K1563" s="1068">
        <f>K1562-K1561</f>
        <v>486.58969999999999</v>
      </c>
      <c r="L1563" s="1069"/>
      <c r="M1563" s="18"/>
      <c r="N1563" s="18"/>
      <c r="O1563" s="98"/>
      <c r="P1563" s="99"/>
    </row>
    <row r="1564" spans="2:16" s="146" customFormat="1" ht="9.9499999999999993" customHeight="1" thickBot="1" x14ac:dyDescent="0.3">
      <c r="C1564" s="21"/>
      <c r="D1564" s="22"/>
      <c r="E1564" s="22"/>
      <c r="F1564" s="22"/>
      <c r="G1564" s="27"/>
      <c r="H1564" s="27"/>
      <c r="I1564" s="27"/>
      <c r="J1564" s="27"/>
      <c r="K1564" s="28"/>
      <c r="L1564" s="28"/>
      <c r="M1564" s="22"/>
      <c r="N1564" s="22"/>
      <c r="O1564" s="100"/>
      <c r="P1564" s="101"/>
    </row>
    <row r="1565" spans="2:16" s="146" customFormat="1" ht="18" customHeight="1" x14ac:dyDescent="0.25">
      <c r="C1565" s="20" t="s">
        <v>34</v>
      </c>
      <c r="D1565" s="1052" t="s">
        <v>35</v>
      </c>
      <c r="E1565" s="1053"/>
      <c r="F1565" s="1053"/>
      <c r="G1565" s="1053"/>
      <c r="H1565" s="1053"/>
      <c r="I1565" s="1053"/>
      <c r="J1565" s="1053"/>
      <c r="K1565" s="1053"/>
      <c r="L1565" s="1053"/>
      <c r="M1565" s="1054"/>
      <c r="N1565" s="145" t="s">
        <v>0</v>
      </c>
      <c r="O1565" s="1107" t="s">
        <v>4</v>
      </c>
      <c r="P1565" s="1108"/>
    </row>
    <row r="1566" spans="2:16" s="146" customFormat="1" ht="69.95" customHeight="1" thickBot="1" x14ac:dyDescent="0.3">
      <c r="C1566" s="85" t="s">
        <v>246</v>
      </c>
      <c r="D1566" s="1070" t="str">
        <f>VLOOKUP(C1566,'BM DETALHADO'!$B$13:$D$126,2,FALSE)</f>
        <v>TRATAMENTO DE FISSURAS DE PEÇAS</v>
      </c>
      <c r="E1566" s="1071"/>
      <c r="F1566" s="1071"/>
      <c r="G1566" s="1071"/>
      <c r="H1566" s="1071"/>
      <c r="I1566" s="1071"/>
      <c r="J1566" s="1071"/>
      <c r="K1566" s="1071"/>
      <c r="L1566" s="1071"/>
      <c r="M1566" s="1072"/>
      <c r="N1566" s="19" t="str">
        <f>VLOOKUP(C1566,'BM DETALHADO'!$B$13:$D$126,3,FALSE)</f>
        <v>M2</v>
      </c>
      <c r="O1566" s="1109">
        <v>30</v>
      </c>
      <c r="P1566" s="1110"/>
    </row>
    <row r="1567" spans="2:16" s="146" customFormat="1" ht="9.9499999999999993" customHeight="1" x14ac:dyDescent="0.25">
      <c r="C1567" s="77"/>
      <c r="D1567" s="78"/>
      <c r="E1567" s="79"/>
      <c r="F1567" s="79"/>
      <c r="G1567" s="79"/>
      <c r="H1567" s="79"/>
      <c r="I1567" s="79"/>
      <c r="J1567" s="79"/>
      <c r="K1567" s="79"/>
      <c r="L1567" s="79"/>
      <c r="M1567" s="79"/>
      <c r="N1567" s="79"/>
      <c r="O1567" s="91"/>
      <c r="P1567" s="92"/>
    </row>
    <row r="1568" spans="2:16" s="146" customFormat="1" ht="18" customHeight="1" x14ac:dyDescent="0.25">
      <c r="C1568" s="336"/>
      <c r="D1568" s="1031" t="s">
        <v>308</v>
      </c>
      <c r="E1568" s="1031"/>
      <c r="F1568" s="1031" t="s">
        <v>477</v>
      </c>
      <c r="G1568" s="1031"/>
      <c r="H1568" s="1031"/>
      <c r="I1568" s="1031"/>
      <c r="J1568" s="219"/>
      <c r="K1568" s="219"/>
      <c r="L1568" s="1037" t="s">
        <v>478</v>
      </c>
      <c r="M1568" s="1037"/>
      <c r="N1568" s="1037"/>
      <c r="O1568" s="1037"/>
      <c r="P1568" s="1038"/>
    </row>
    <row r="1569" spans="2:16" s="146" customFormat="1" ht="18" customHeight="1" x14ac:dyDescent="0.25">
      <c r="C1569" s="336"/>
      <c r="D1569" s="1031"/>
      <c r="E1569" s="1031"/>
      <c r="F1569" s="847" t="s">
        <v>327</v>
      </c>
      <c r="G1569" s="847" t="s">
        <v>309</v>
      </c>
      <c r="H1569" s="847" t="s">
        <v>291</v>
      </c>
      <c r="I1569" s="847" t="s">
        <v>279</v>
      </c>
      <c r="J1569" s="211"/>
      <c r="K1569" s="211"/>
      <c r="L1569" s="1037"/>
      <c r="M1569" s="1037"/>
      <c r="N1569" s="1037"/>
      <c r="O1569" s="1037"/>
      <c r="P1569" s="1038"/>
    </row>
    <row r="1570" spans="2:16" s="146" customFormat="1" ht="18" customHeight="1" x14ac:dyDescent="0.25">
      <c r="C1570" s="202"/>
      <c r="D1570" s="1029" t="s">
        <v>453</v>
      </c>
      <c r="E1570" s="1029"/>
      <c r="F1570" s="878">
        <f>(8.15*2)+(3.9)</f>
        <v>20.2</v>
      </c>
      <c r="G1570" s="784">
        <f>((0.3+0.25+0.28+0.26+0.28)/5)*4</f>
        <v>1.0960000000000001</v>
      </c>
      <c r="H1570" s="784">
        <f>F1570*G1570</f>
        <v>22.139200000000002</v>
      </c>
      <c r="I1570" s="879" t="s">
        <v>292</v>
      </c>
      <c r="J1570" s="211"/>
      <c r="K1570" s="211"/>
      <c r="L1570" s="1037"/>
      <c r="M1570" s="1037"/>
      <c r="N1570" s="1037"/>
      <c r="O1570" s="1037"/>
      <c r="P1570" s="1038"/>
    </row>
    <row r="1571" spans="2:16" s="146" customFormat="1" ht="18" customHeight="1" x14ac:dyDescent="0.25">
      <c r="C1571" s="202"/>
      <c r="D1571" s="1030" t="s">
        <v>454</v>
      </c>
      <c r="E1571" s="1030"/>
      <c r="F1571" s="786">
        <f>(3.85*2)</f>
        <v>7.7</v>
      </c>
      <c r="G1571" s="785">
        <f>((0.3+0.25+0.28+0.26+0.28)/5)*4</f>
        <v>1.0960000000000001</v>
      </c>
      <c r="H1571" s="785">
        <f t="shared" ref="H1571:H1574" si="20">F1571*G1571</f>
        <v>8.4392000000000014</v>
      </c>
      <c r="I1571" s="861" t="s">
        <v>292</v>
      </c>
      <c r="J1571" s="211"/>
      <c r="K1571" s="211"/>
      <c r="L1571" s="1037"/>
      <c r="M1571" s="1037"/>
      <c r="N1571" s="1037"/>
      <c r="O1571" s="1037"/>
      <c r="P1571" s="1038"/>
    </row>
    <row r="1572" spans="2:16" s="146" customFormat="1" ht="18" customHeight="1" x14ac:dyDescent="0.25">
      <c r="C1572" s="202"/>
      <c r="D1572" s="1030" t="s">
        <v>473</v>
      </c>
      <c r="E1572" s="1030"/>
      <c r="F1572" s="786">
        <f>(7.65*2)+(5.5+5.5)</f>
        <v>26.3</v>
      </c>
      <c r="G1572" s="785">
        <f>((0.29+0.27+0.224+0.25+0.27)/5)*4</f>
        <v>1.0432000000000001</v>
      </c>
      <c r="H1572" s="785">
        <f t="shared" si="20"/>
        <v>27.436160000000005</v>
      </c>
      <c r="I1572" s="861" t="s">
        <v>292</v>
      </c>
      <c r="J1572" s="211"/>
      <c r="K1572" s="211"/>
      <c r="L1572" s="1037"/>
      <c r="M1572" s="1037"/>
      <c r="N1572" s="1037"/>
      <c r="O1572" s="1037"/>
      <c r="P1572" s="1038"/>
    </row>
    <row r="1573" spans="2:16" s="146" customFormat="1" ht="18" customHeight="1" x14ac:dyDescent="0.25">
      <c r="C1573" s="202"/>
      <c r="D1573" s="1030" t="s">
        <v>474</v>
      </c>
      <c r="E1573" s="1030"/>
      <c r="F1573" s="1033">
        <f>4.35+5.5</f>
        <v>9.85</v>
      </c>
      <c r="G1573" s="1033">
        <f t="shared" ref="G1573:G1574" si="21">((0.29+0.27+0.224+0.25+0.27)/5)*4</f>
        <v>1.0432000000000001</v>
      </c>
      <c r="H1573" s="1027">
        <f t="shared" si="20"/>
        <v>10.27552</v>
      </c>
      <c r="I1573" s="1035" t="s">
        <v>292</v>
      </c>
      <c r="J1573" s="211"/>
      <c r="K1573" s="211"/>
      <c r="L1573" s="211"/>
      <c r="M1573" s="211"/>
      <c r="N1573" s="211"/>
      <c r="O1573" s="211"/>
      <c r="P1573" s="187"/>
    </row>
    <row r="1574" spans="2:16" s="146" customFormat="1" ht="18" customHeight="1" x14ac:dyDescent="0.25">
      <c r="C1574" s="202"/>
      <c r="D1574" s="1032"/>
      <c r="E1574" s="1032"/>
      <c r="F1574" s="1034"/>
      <c r="G1574" s="1034">
        <f t="shared" si="21"/>
        <v>1.0432000000000001</v>
      </c>
      <c r="H1574" s="1028">
        <f t="shared" si="20"/>
        <v>0</v>
      </c>
      <c r="I1574" s="1036"/>
      <c r="J1574" s="211"/>
      <c r="K1574" s="211"/>
      <c r="L1574" s="211"/>
      <c r="M1574" s="211"/>
      <c r="N1574" s="211"/>
      <c r="O1574" s="211"/>
      <c r="P1574" s="187"/>
    </row>
    <row r="1575" spans="2:16" s="146" customFormat="1" ht="18" customHeight="1" x14ac:dyDescent="0.25">
      <c r="C1575" s="80"/>
      <c r="D1575" s="1031" t="s">
        <v>19</v>
      </c>
      <c r="E1575" s="1031"/>
      <c r="F1575" s="1031"/>
      <c r="G1575" s="1031"/>
      <c r="H1575" s="472">
        <f>SUM(H1570:H1574)</f>
        <v>68.290080000000003</v>
      </c>
      <c r="I1575" s="847" t="s">
        <v>292</v>
      </c>
      <c r="J1575" s="211"/>
      <c r="K1575" s="211"/>
      <c r="L1575" s="211"/>
      <c r="M1575" s="211"/>
      <c r="N1575" s="81"/>
      <c r="O1575" s="81"/>
      <c r="P1575" s="187"/>
    </row>
    <row r="1576" spans="2:16" s="146" customFormat="1" ht="18" customHeight="1" x14ac:dyDescent="0.25">
      <c r="C1576" s="80"/>
      <c r="D1576" s="81"/>
      <c r="E1576" s="81"/>
      <c r="F1576" s="81"/>
      <c r="G1576" s="81"/>
      <c r="H1576" s="81"/>
      <c r="I1576" s="81"/>
      <c r="J1576" s="81"/>
      <c r="K1576" s="81"/>
      <c r="L1576" s="81"/>
      <c r="M1576" s="81"/>
      <c r="N1576" s="81"/>
      <c r="O1576" s="81"/>
      <c r="P1576" s="187"/>
    </row>
    <row r="1577" spans="2:16" s="611" customFormat="1" ht="18" customHeight="1" x14ac:dyDescent="0.25">
      <c r="C1577" s="80"/>
      <c r="D1577" s="81"/>
      <c r="E1577" s="81"/>
      <c r="F1577" s="81"/>
      <c r="G1577" s="81"/>
      <c r="H1577" s="81"/>
      <c r="I1577" s="81"/>
      <c r="J1577" s="81"/>
      <c r="K1577" s="81"/>
      <c r="L1577" s="81"/>
      <c r="M1577" s="81"/>
      <c r="N1577" s="81"/>
      <c r="O1577" s="81"/>
      <c r="P1577" s="187"/>
    </row>
    <row r="1578" spans="2:16" s="146" customFormat="1" ht="18" customHeight="1" x14ac:dyDescent="0.25">
      <c r="C1578" s="80"/>
      <c r="D1578" s="81"/>
      <c r="E1578" s="81"/>
      <c r="F1578" s="81"/>
      <c r="G1578" s="81"/>
      <c r="H1578" s="81"/>
      <c r="I1578" s="81"/>
      <c r="J1578" s="81"/>
      <c r="K1578" s="81"/>
      <c r="L1578" s="81"/>
      <c r="M1578" s="81"/>
      <c r="N1578" s="81"/>
      <c r="O1578" s="81"/>
      <c r="P1578" s="187"/>
    </row>
    <row r="1579" spans="2:16" s="611" customFormat="1" ht="18" customHeight="1" x14ac:dyDescent="0.25">
      <c r="C1579" s="80"/>
      <c r="D1579" s="81"/>
      <c r="E1579" s="81"/>
      <c r="F1579" s="81"/>
      <c r="G1579" s="81"/>
      <c r="H1579" s="81"/>
      <c r="I1579" s="81"/>
      <c r="J1579" s="81"/>
      <c r="K1579" s="81"/>
      <c r="L1579" s="81"/>
      <c r="M1579" s="81"/>
      <c r="N1579" s="81"/>
      <c r="O1579" s="81"/>
      <c r="P1579" s="187"/>
    </row>
    <row r="1580" spans="2:16" s="611" customFormat="1" ht="18" customHeight="1" x14ac:dyDescent="0.25">
      <c r="C1580" s="80"/>
      <c r="D1580" s="81"/>
      <c r="E1580" s="81"/>
      <c r="F1580" s="81"/>
      <c r="G1580" s="81"/>
      <c r="H1580" s="81"/>
      <c r="I1580" s="81"/>
      <c r="J1580" s="81"/>
      <c r="K1580" s="81"/>
      <c r="L1580" s="81"/>
      <c r="M1580" s="81"/>
      <c r="N1580" s="81"/>
      <c r="O1580" s="81"/>
      <c r="P1580" s="187"/>
    </row>
    <row r="1581" spans="2:16" s="146" customFormat="1" ht="18" customHeight="1" x14ac:dyDescent="0.25">
      <c r="C1581" s="80"/>
      <c r="D1581" s="81"/>
      <c r="E1581" s="81"/>
      <c r="F1581" s="81"/>
      <c r="G1581" s="81"/>
      <c r="H1581" s="81"/>
      <c r="I1581" s="81"/>
      <c r="J1581" s="81"/>
      <c r="K1581" s="81"/>
      <c r="L1581" s="81"/>
      <c r="M1581" s="81"/>
      <c r="N1581" s="81"/>
      <c r="O1581" s="81"/>
      <c r="P1581" s="187"/>
    </row>
    <row r="1582" spans="2:16" s="146" customFormat="1" ht="18" customHeight="1" x14ac:dyDescent="0.25">
      <c r="C1582" s="80"/>
      <c r="D1582" s="81"/>
      <c r="E1582" s="81"/>
      <c r="F1582" s="81"/>
      <c r="G1582" s="81"/>
      <c r="H1582" s="81"/>
      <c r="I1582" s="81"/>
      <c r="J1582" s="81"/>
      <c r="K1582" s="81"/>
      <c r="L1582" s="81"/>
      <c r="M1582" s="81"/>
      <c r="N1582" s="81"/>
      <c r="O1582" s="81"/>
      <c r="P1582" s="187"/>
    </row>
    <row r="1583" spans="2:16" s="146" customFormat="1" ht="9.9499999999999993" customHeight="1" thickBot="1" x14ac:dyDescent="0.3">
      <c r="C1583" s="80"/>
      <c r="D1583" s="81"/>
      <c r="E1583" s="81"/>
      <c r="F1583" s="81"/>
      <c r="G1583" s="81"/>
      <c r="H1583" s="81"/>
      <c r="I1583" s="81"/>
      <c r="J1583" s="81"/>
      <c r="K1583" s="81"/>
      <c r="L1583" s="81"/>
      <c r="M1583" s="81"/>
      <c r="N1583" s="81"/>
      <c r="O1583" s="81"/>
      <c r="P1583" s="187"/>
    </row>
    <row r="1584" spans="2:16" s="146" customFormat="1" ht="18" customHeight="1" x14ac:dyDescent="0.25">
      <c r="B1584" s="31" t="s">
        <v>34</v>
      </c>
      <c r="C1584" s="29"/>
      <c r="E1584" s="30"/>
      <c r="F1584" s="30"/>
      <c r="G1584" s="1041" t="s">
        <v>343</v>
      </c>
      <c r="H1584" s="1042"/>
      <c r="I1584" s="1042"/>
      <c r="J1584" s="1043"/>
      <c r="K1584" s="1085">
        <v>0</v>
      </c>
      <c r="L1584" s="1086"/>
      <c r="M1584" s="18"/>
      <c r="N1584" s="18"/>
      <c r="O1584" s="98"/>
      <c r="P1584" s="99"/>
    </row>
    <row r="1585" spans="2:16" s="146" customFormat="1" ht="18" customHeight="1" x14ac:dyDescent="0.25">
      <c r="B1585" s="31" t="str">
        <f>C1566</f>
        <v>6.11</v>
      </c>
      <c r="C1585" s="29"/>
      <c r="E1585" s="30"/>
      <c r="F1585" s="30"/>
      <c r="G1585" s="1082" t="s">
        <v>344</v>
      </c>
      <c r="H1585" s="1083"/>
      <c r="I1585" s="1083"/>
      <c r="J1585" s="1084"/>
      <c r="K1585" s="1075">
        <f>K1584+O1566</f>
        <v>30</v>
      </c>
      <c r="L1585" s="1076"/>
      <c r="M1585" s="18"/>
      <c r="N1585" s="18"/>
      <c r="O1585" s="98"/>
      <c r="P1585" s="99"/>
    </row>
    <row r="1586" spans="2:16" s="146" customFormat="1" ht="18" customHeight="1" x14ac:dyDescent="0.25">
      <c r="C1586" s="29"/>
      <c r="D1586" s="30"/>
      <c r="E1586" s="30"/>
      <c r="F1586" s="30"/>
      <c r="G1586" s="1082" t="s">
        <v>345</v>
      </c>
      <c r="H1586" s="1083"/>
      <c r="I1586" s="1083"/>
      <c r="J1586" s="1084"/>
      <c r="K1586" s="1075">
        <f>'BM DETALHADO'!E108</f>
        <v>30</v>
      </c>
      <c r="L1586" s="1076"/>
      <c r="M1586" s="18"/>
      <c r="N1586" s="18"/>
      <c r="O1586" s="98"/>
      <c r="P1586" s="99"/>
    </row>
    <row r="1587" spans="2:16" s="146" customFormat="1" ht="18" customHeight="1" thickBot="1" x14ac:dyDescent="0.3">
      <c r="C1587" s="29"/>
      <c r="D1587" s="30"/>
      <c r="E1587" s="30"/>
      <c r="F1587" s="30"/>
      <c r="G1587" s="1077" t="s">
        <v>346</v>
      </c>
      <c r="H1587" s="1078"/>
      <c r="I1587" s="1078"/>
      <c r="J1587" s="1079"/>
      <c r="K1587" s="1068">
        <f>K1586-K1585</f>
        <v>0</v>
      </c>
      <c r="L1587" s="1069"/>
      <c r="M1587" s="18"/>
      <c r="N1587" s="18"/>
      <c r="O1587" s="98"/>
      <c r="P1587" s="99"/>
    </row>
    <row r="1588" spans="2:16" s="146" customFormat="1" ht="9.9499999999999993" customHeight="1" thickBot="1" x14ac:dyDescent="0.3">
      <c r="C1588" s="21"/>
      <c r="D1588" s="22"/>
      <c r="E1588" s="22"/>
      <c r="F1588" s="22"/>
      <c r="G1588" s="27"/>
      <c r="H1588" s="27"/>
      <c r="I1588" s="27"/>
      <c r="J1588" s="27"/>
      <c r="K1588" s="28"/>
      <c r="L1588" s="28"/>
      <c r="M1588" s="22"/>
      <c r="N1588" s="22"/>
      <c r="O1588" s="100"/>
      <c r="P1588" s="101"/>
    </row>
    <row r="1589" spans="2:16" s="146" customFormat="1" ht="18" hidden="1" customHeight="1" x14ac:dyDescent="0.25">
      <c r="C1589" s="20" t="s">
        <v>34</v>
      </c>
      <c r="D1589" s="1052" t="s">
        <v>35</v>
      </c>
      <c r="E1589" s="1053"/>
      <c r="F1589" s="1053"/>
      <c r="G1589" s="1053"/>
      <c r="H1589" s="1053"/>
      <c r="I1589" s="1053"/>
      <c r="J1589" s="1053"/>
      <c r="K1589" s="1053"/>
      <c r="L1589" s="1053"/>
      <c r="M1589" s="1054"/>
      <c r="N1589" s="145" t="s">
        <v>0</v>
      </c>
      <c r="O1589" s="1107" t="s">
        <v>4</v>
      </c>
      <c r="P1589" s="1108"/>
    </row>
    <row r="1590" spans="2:16" s="146" customFormat="1" ht="69.95" hidden="1" customHeight="1" thickBot="1" x14ac:dyDescent="0.3">
      <c r="C1590" s="85" t="s">
        <v>248</v>
      </c>
      <c r="D1590" s="1070" t="str">
        <f>VLOOKUP(C1590,'BM DETALHADO'!$B$13:$D$126,2,FALSE)</f>
        <v>MANTA ISOLANTE PARA TELHADOS</v>
      </c>
      <c r="E1590" s="1071"/>
      <c r="F1590" s="1071"/>
      <c r="G1590" s="1071"/>
      <c r="H1590" s="1071"/>
      <c r="I1590" s="1071"/>
      <c r="J1590" s="1071"/>
      <c r="K1590" s="1071"/>
      <c r="L1590" s="1071"/>
      <c r="M1590" s="1072"/>
      <c r="N1590" s="19" t="str">
        <f>VLOOKUP(C1590,'BM DETALHADO'!$B$13:$D$126,3,FALSE)</f>
        <v>M2</v>
      </c>
      <c r="O1590" s="1109"/>
      <c r="P1590" s="1110"/>
    </row>
    <row r="1591" spans="2:16" s="146" customFormat="1" ht="9.9499999999999993" hidden="1" customHeight="1" x14ac:dyDescent="0.25">
      <c r="C1591" s="77"/>
      <c r="D1591" s="78"/>
      <c r="E1591" s="79"/>
      <c r="F1591" s="79"/>
      <c r="G1591" s="79"/>
      <c r="H1591" s="79"/>
      <c r="I1591" s="79"/>
      <c r="J1591" s="79"/>
      <c r="K1591" s="79"/>
      <c r="L1591" s="79"/>
      <c r="M1591" s="79"/>
      <c r="N1591" s="79"/>
      <c r="O1591" s="91"/>
      <c r="P1591" s="92"/>
    </row>
    <row r="1592" spans="2:16" s="146" customFormat="1" ht="18" hidden="1" customHeight="1" x14ac:dyDescent="0.25">
      <c r="C1592" s="336"/>
      <c r="D1592" s="81"/>
      <c r="E1592" s="81"/>
      <c r="F1592" s="81"/>
      <c r="G1592" s="81"/>
      <c r="H1592" s="330"/>
      <c r="I1592" s="344"/>
      <c r="J1592" s="339"/>
      <c r="K1592" s="344"/>
      <c r="L1592" s="339"/>
      <c r="M1592" s="169"/>
      <c r="N1592" s="169"/>
      <c r="O1592" s="343"/>
      <c r="P1592" s="93"/>
    </row>
    <row r="1593" spans="2:16" s="146" customFormat="1" ht="18" hidden="1" customHeight="1" x14ac:dyDescent="0.25">
      <c r="C1593" s="336"/>
      <c r="D1593" s="333"/>
      <c r="E1593" s="333"/>
      <c r="F1593" s="333"/>
      <c r="G1593" s="333"/>
      <c r="H1593" s="330"/>
      <c r="I1593" s="330"/>
      <c r="J1593" s="330"/>
      <c r="K1593" s="330"/>
      <c r="L1593" s="330"/>
      <c r="M1593" s="330"/>
      <c r="N1593" s="330"/>
      <c r="O1593" s="94"/>
      <c r="P1593" s="93"/>
    </row>
    <row r="1594" spans="2:16" s="146" customFormat="1" ht="18" hidden="1" customHeight="1" x14ac:dyDescent="0.25">
      <c r="C1594" s="202"/>
      <c r="D1594" s="81"/>
      <c r="E1594" s="81"/>
      <c r="F1594" s="81"/>
      <c r="G1594" s="81"/>
      <c r="H1594" s="81"/>
      <c r="I1594" s="167"/>
      <c r="J1594" s="168"/>
      <c r="K1594" s="167"/>
      <c r="L1594" s="168"/>
      <c r="M1594" s="169"/>
      <c r="N1594" s="169"/>
      <c r="O1594" s="169"/>
      <c r="P1594" s="93"/>
    </row>
    <row r="1595" spans="2:16" s="146" customFormat="1" ht="18" hidden="1" customHeight="1" x14ac:dyDescent="0.25">
      <c r="C1595" s="202"/>
      <c r="D1595" s="81"/>
      <c r="E1595" s="81"/>
      <c r="F1595" s="81"/>
      <c r="G1595" s="81"/>
      <c r="H1595" s="81"/>
      <c r="I1595" s="167"/>
      <c r="J1595" s="168"/>
      <c r="K1595" s="167"/>
      <c r="L1595" s="168"/>
      <c r="M1595" s="169"/>
      <c r="N1595" s="169"/>
      <c r="O1595" s="169"/>
      <c r="P1595" s="93"/>
    </row>
    <row r="1596" spans="2:16" s="146" customFormat="1" ht="18" hidden="1" customHeight="1" x14ac:dyDescent="0.25">
      <c r="C1596" s="202"/>
      <c r="D1596" s="81"/>
      <c r="E1596" s="81"/>
      <c r="F1596" s="81"/>
      <c r="G1596" s="81"/>
      <c r="H1596" s="81"/>
      <c r="I1596" s="167"/>
      <c r="J1596" s="168"/>
      <c r="K1596" s="167"/>
      <c r="L1596" s="168"/>
      <c r="M1596" s="169"/>
      <c r="N1596" s="169"/>
      <c r="O1596" s="169"/>
      <c r="P1596" s="93"/>
    </row>
    <row r="1597" spans="2:16" s="146" customFormat="1" ht="18" hidden="1" customHeight="1" x14ac:dyDescent="0.25">
      <c r="C1597" s="202"/>
      <c r="D1597" s="81"/>
      <c r="E1597" s="81"/>
      <c r="F1597" s="81"/>
      <c r="G1597" s="81"/>
      <c r="H1597" s="81"/>
      <c r="I1597" s="167"/>
      <c r="J1597" s="168"/>
      <c r="K1597" s="167"/>
      <c r="L1597" s="168"/>
      <c r="M1597" s="169"/>
      <c r="N1597" s="169"/>
      <c r="O1597" s="169"/>
      <c r="P1597" s="93"/>
    </row>
    <row r="1598" spans="2:16" s="146" customFormat="1" ht="18" hidden="1" customHeight="1" x14ac:dyDescent="0.25">
      <c r="C1598" s="202"/>
      <c r="D1598" s="81"/>
      <c r="E1598" s="81"/>
      <c r="F1598" s="81"/>
      <c r="G1598" s="81"/>
      <c r="H1598" s="81"/>
      <c r="I1598" s="167"/>
      <c r="J1598" s="168"/>
      <c r="K1598" s="167"/>
      <c r="L1598" s="168"/>
      <c r="M1598" s="169"/>
      <c r="N1598" s="169"/>
      <c r="O1598" s="169"/>
      <c r="P1598" s="93"/>
    </row>
    <row r="1599" spans="2:16" s="146" customFormat="1" ht="18" hidden="1" customHeight="1" x14ac:dyDescent="0.25">
      <c r="C1599" s="80"/>
      <c r="D1599" s="81"/>
      <c r="E1599" s="330"/>
      <c r="F1599" s="330"/>
      <c r="G1599" s="330"/>
      <c r="H1599" s="330"/>
      <c r="I1599" s="330"/>
      <c r="J1599" s="330"/>
      <c r="K1599" s="330"/>
      <c r="L1599" s="330"/>
      <c r="M1599" s="330"/>
      <c r="N1599" s="330"/>
      <c r="O1599" s="94"/>
      <c r="P1599" s="93"/>
    </row>
    <row r="1600" spans="2:16" s="146" customFormat="1" ht="18" hidden="1" customHeight="1" x14ac:dyDescent="0.25">
      <c r="C1600" s="80"/>
      <c r="D1600" s="180"/>
      <c r="E1600" s="180"/>
      <c r="F1600" s="180"/>
      <c r="G1600" s="180"/>
      <c r="H1600" s="180"/>
      <c r="I1600" s="180"/>
      <c r="J1600" s="180"/>
      <c r="K1600" s="180"/>
      <c r="L1600" s="328"/>
      <c r="M1600" s="181"/>
      <c r="N1600" s="182"/>
      <c r="O1600" s="95"/>
      <c r="P1600" s="93"/>
    </row>
    <row r="1601" spans="2:16" s="146" customFormat="1" ht="18" hidden="1" customHeight="1" x14ac:dyDescent="0.25">
      <c r="C1601" s="80"/>
      <c r="D1601" s="331"/>
      <c r="E1601" s="331"/>
      <c r="F1601" s="331"/>
      <c r="G1601" s="331"/>
      <c r="H1601" s="331"/>
      <c r="I1601" s="331"/>
      <c r="J1601" s="331"/>
      <c r="K1601" s="331"/>
      <c r="L1601" s="328"/>
      <c r="M1601" s="332"/>
      <c r="N1601" s="328"/>
      <c r="O1601" s="95"/>
      <c r="P1601" s="93"/>
    </row>
    <row r="1602" spans="2:16" s="146" customFormat="1" ht="18" hidden="1" customHeight="1" x14ac:dyDescent="0.25">
      <c r="C1602" s="80"/>
      <c r="D1602" s="331"/>
      <c r="E1602" s="331"/>
      <c r="F1602" s="331"/>
      <c r="G1602" s="331"/>
      <c r="H1602" s="331"/>
      <c r="I1602" s="331"/>
      <c r="J1602" s="331"/>
      <c r="K1602" s="331"/>
      <c r="L1602" s="328"/>
      <c r="M1602" s="332"/>
      <c r="N1602" s="328"/>
      <c r="O1602" s="95"/>
      <c r="P1602" s="93"/>
    </row>
    <row r="1603" spans="2:16" s="146" customFormat="1" ht="18" hidden="1" customHeight="1" x14ac:dyDescent="0.25">
      <c r="C1603" s="80"/>
      <c r="D1603" s="331"/>
      <c r="E1603" s="331"/>
      <c r="F1603" s="331"/>
      <c r="G1603" s="331"/>
      <c r="H1603" s="331"/>
      <c r="I1603" s="331"/>
      <c r="J1603" s="331"/>
      <c r="K1603" s="331"/>
      <c r="L1603" s="328"/>
      <c r="M1603" s="332"/>
      <c r="N1603" s="328"/>
      <c r="O1603" s="95"/>
      <c r="P1603" s="93"/>
    </row>
    <row r="1604" spans="2:16" s="146" customFormat="1" ht="9.9499999999999993" hidden="1" customHeight="1" thickBot="1" x14ac:dyDescent="0.3">
      <c r="C1604" s="80"/>
      <c r="D1604" s="81"/>
      <c r="E1604" s="81"/>
      <c r="F1604" s="81"/>
      <c r="G1604" s="81"/>
      <c r="H1604" s="81"/>
      <c r="I1604" s="81"/>
      <c r="J1604" s="81"/>
      <c r="K1604" s="81"/>
      <c r="L1604" s="81"/>
      <c r="M1604" s="81"/>
      <c r="N1604" s="81"/>
      <c r="O1604" s="96"/>
      <c r="P1604" s="97"/>
    </row>
    <row r="1605" spans="2:16" s="146" customFormat="1" ht="18" hidden="1" customHeight="1" x14ac:dyDescent="0.25">
      <c r="B1605" s="31" t="s">
        <v>34</v>
      </c>
      <c r="C1605" s="29"/>
      <c r="E1605" s="30"/>
      <c r="F1605" s="30"/>
      <c r="G1605" s="1041" t="s">
        <v>343</v>
      </c>
      <c r="H1605" s="1042"/>
      <c r="I1605" s="1042"/>
      <c r="J1605" s="1043"/>
      <c r="K1605" s="1085">
        <v>0</v>
      </c>
      <c r="L1605" s="1086"/>
      <c r="M1605" s="18"/>
      <c r="N1605" s="18"/>
      <c r="O1605" s="98"/>
      <c r="P1605" s="99"/>
    </row>
    <row r="1606" spans="2:16" s="146" customFormat="1" ht="18" hidden="1" customHeight="1" x14ac:dyDescent="0.25">
      <c r="B1606" s="31" t="str">
        <f>C1590</f>
        <v>6.12</v>
      </c>
      <c r="C1606" s="29"/>
      <c r="E1606" s="30"/>
      <c r="F1606" s="30"/>
      <c r="G1606" s="1082" t="s">
        <v>344</v>
      </c>
      <c r="H1606" s="1083"/>
      <c r="I1606" s="1083"/>
      <c r="J1606" s="1084"/>
      <c r="K1606" s="1075">
        <f>K1605+O1590</f>
        <v>0</v>
      </c>
      <c r="L1606" s="1076"/>
      <c r="M1606" s="18"/>
      <c r="N1606" s="18"/>
      <c r="O1606" s="98"/>
      <c r="P1606" s="99"/>
    </row>
    <row r="1607" spans="2:16" s="146" customFormat="1" ht="18" hidden="1" customHeight="1" x14ac:dyDescent="0.25">
      <c r="C1607" s="29"/>
      <c r="D1607" s="30"/>
      <c r="E1607" s="30"/>
      <c r="F1607" s="30"/>
      <c r="G1607" s="1082" t="s">
        <v>345</v>
      </c>
      <c r="H1607" s="1083"/>
      <c r="I1607" s="1083"/>
      <c r="J1607" s="1084"/>
      <c r="K1607" s="1075">
        <f>'BM DETALHADO'!E109</f>
        <v>569</v>
      </c>
      <c r="L1607" s="1076"/>
      <c r="M1607" s="18"/>
      <c r="N1607" s="18"/>
      <c r="O1607" s="98"/>
      <c r="P1607" s="99"/>
    </row>
    <row r="1608" spans="2:16" s="146" customFormat="1" ht="18" hidden="1" customHeight="1" thickBot="1" x14ac:dyDescent="0.3">
      <c r="C1608" s="29"/>
      <c r="D1608" s="30"/>
      <c r="E1608" s="30"/>
      <c r="F1608" s="30"/>
      <c r="G1608" s="1077" t="s">
        <v>346</v>
      </c>
      <c r="H1608" s="1078"/>
      <c r="I1608" s="1078"/>
      <c r="J1608" s="1079"/>
      <c r="K1608" s="1068">
        <f>K1607-K1606</f>
        <v>569</v>
      </c>
      <c r="L1608" s="1069"/>
      <c r="M1608" s="18"/>
      <c r="N1608" s="18"/>
      <c r="O1608" s="98"/>
      <c r="P1608" s="99"/>
    </row>
    <row r="1609" spans="2:16" s="146" customFormat="1" ht="9.9499999999999993" hidden="1" customHeight="1" thickBot="1" x14ac:dyDescent="0.3">
      <c r="C1609" s="21"/>
      <c r="D1609" s="22"/>
      <c r="E1609" s="22"/>
      <c r="F1609" s="22"/>
      <c r="G1609" s="27"/>
      <c r="H1609" s="27"/>
      <c r="I1609" s="27"/>
      <c r="J1609" s="27"/>
      <c r="K1609" s="28"/>
      <c r="L1609" s="28"/>
      <c r="M1609" s="22"/>
      <c r="N1609" s="22"/>
      <c r="O1609" s="100"/>
      <c r="P1609" s="101"/>
    </row>
    <row r="1610" spans="2:16" s="146" customFormat="1" ht="18" hidden="1" customHeight="1" x14ac:dyDescent="0.25">
      <c r="C1610" s="20" t="s">
        <v>34</v>
      </c>
      <c r="D1610" s="1052" t="s">
        <v>35</v>
      </c>
      <c r="E1610" s="1053"/>
      <c r="F1610" s="1053"/>
      <c r="G1610" s="1053"/>
      <c r="H1610" s="1053"/>
      <c r="I1610" s="1053"/>
      <c r="J1610" s="1053"/>
      <c r="K1610" s="1053"/>
      <c r="L1610" s="1053"/>
      <c r="M1610" s="1054"/>
      <c r="N1610" s="145" t="s">
        <v>0</v>
      </c>
      <c r="O1610" s="1107" t="s">
        <v>4</v>
      </c>
      <c r="P1610" s="1108"/>
    </row>
    <row r="1611" spans="2:16" s="146" customFormat="1" ht="69.95" hidden="1" customHeight="1" thickBot="1" x14ac:dyDescent="0.3">
      <c r="C1611" s="85" t="s">
        <v>250</v>
      </c>
      <c r="D1611" s="1070" t="str">
        <f>VLOOKUP(C1611,'BM DETALHADO'!$B$13:$D$126,2,FALSE)</f>
        <v xml:space="preserve">EMBOCAMENTO ( MASSA REJUNTANDO TELHAS NO FINAL DA CORRIDA DE ÁGUA) E NAS CUMIEIRAS </v>
      </c>
      <c r="E1611" s="1071"/>
      <c r="F1611" s="1071"/>
      <c r="G1611" s="1071"/>
      <c r="H1611" s="1071"/>
      <c r="I1611" s="1071"/>
      <c r="J1611" s="1071"/>
      <c r="K1611" s="1071"/>
      <c r="L1611" s="1071"/>
      <c r="M1611" s="1072"/>
      <c r="N1611" s="19" t="str">
        <f>VLOOKUP(C1611,'BM DETALHADO'!$B$13:$D$126,3,FALSE)</f>
        <v>M</v>
      </c>
      <c r="O1611" s="1109"/>
      <c r="P1611" s="1110"/>
    </row>
    <row r="1612" spans="2:16" s="146" customFormat="1" ht="9.9499999999999993" hidden="1" customHeight="1" x14ac:dyDescent="0.25">
      <c r="C1612" s="77"/>
      <c r="D1612" s="78"/>
      <c r="E1612" s="79"/>
      <c r="F1612" s="79"/>
      <c r="G1612" s="79"/>
      <c r="H1612" s="79"/>
      <c r="I1612" s="79"/>
      <c r="J1612" s="79"/>
      <c r="K1612" s="79"/>
      <c r="L1612" s="79"/>
      <c r="M1612" s="79"/>
      <c r="N1612" s="79"/>
      <c r="O1612" s="91"/>
      <c r="P1612" s="92"/>
    </row>
    <row r="1613" spans="2:16" s="146" customFormat="1" ht="18" hidden="1" customHeight="1" x14ac:dyDescent="0.25">
      <c r="C1613" s="336"/>
      <c r="D1613" s="81"/>
      <c r="E1613" s="81"/>
      <c r="F1613" s="81"/>
      <c r="G1613" s="81"/>
      <c r="H1613" s="330"/>
      <c r="I1613" s="344"/>
      <c r="J1613" s="339"/>
      <c r="K1613" s="344"/>
      <c r="L1613" s="339"/>
      <c r="M1613" s="169"/>
      <c r="N1613" s="169"/>
      <c r="O1613" s="343"/>
      <c r="P1613" s="93"/>
    </row>
    <row r="1614" spans="2:16" s="146" customFormat="1" ht="18" hidden="1" customHeight="1" x14ac:dyDescent="0.25">
      <c r="C1614" s="336"/>
      <c r="D1614" s="333"/>
      <c r="E1614" s="333"/>
      <c r="F1614" s="333"/>
      <c r="G1614" s="333"/>
      <c r="H1614" s="330"/>
      <c r="I1614" s="330"/>
      <c r="J1614" s="330"/>
      <c r="K1614" s="330"/>
      <c r="L1614" s="330"/>
      <c r="M1614" s="330"/>
      <c r="N1614" s="330"/>
      <c r="O1614" s="94"/>
      <c r="P1614" s="93"/>
    </row>
    <row r="1615" spans="2:16" s="146" customFormat="1" ht="18" hidden="1" customHeight="1" x14ac:dyDescent="0.25">
      <c r="C1615" s="202"/>
      <c r="D1615" s="81"/>
      <c r="E1615" s="81"/>
      <c r="F1615" s="81"/>
      <c r="G1615" s="81"/>
      <c r="H1615" s="81"/>
      <c r="I1615" s="167"/>
      <c r="J1615" s="168"/>
      <c r="K1615" s="167"/>
      <c r="L1615" s="168"/>
      <c r="M1615" s="169"/>
      <c r="N1615" s="169"/>
      <c r="O1615" s="169"/>
      <c r="P1615" s="93"/>
    </row>
    <row r="1616" spans="2:16" s="146" customFormat="1" ht="18" hidden="1" customHeight="1" x14ac:dyDescent="0.25">
      <c r="C1616" s="202"/>
      <c r="D1616" s="81"/>
      <c r="E1616" s="81"/>
      <c r="F1616" s="81"/>
      <c r="G1616" s="81"/>
      <c r="H1616" s="81"/>
      <c r="I1616" s="167"/>
      <c r="J1616" s="168"/>
      <c r="K1616" s="167"/>
      <c r="L1616" s="168"/>
      <c r="M1616" s="169"/>
      <c r="N1616" s="169"/>
      <c r="O1616" s="169"/>
      <c r="P1616" s="93"/>
    </row>
    <row r="1617" spans="2:16" s="146" customFormat="1" ht="18" hidden="1" customHeight="1" x14ac:dyDescent="0.25">
      <c r="C1617" s="202"/>
      <c r="D1617" s="81"/>
      <c r="E1617" s="81"/>
      <c r="F1617" s="81"/>
      <c r="G1617" s="81"/>
      <c r="H1617" s="81"/>
      <c r="I1617" s="167"/>
      <c r="J1617" s="168"/>
      <c r="K1617" s="167"/>
      <c r="L1617" s="168"/>
      <c r="M1617" s="169"/>
      <c r="N1617" s="169"/>
      <c r="O1617" s="169"/>
      <c r="P1617" s="93"/>
    </row>
    <row r="1618" spans="2:16" s="146" customFormat="1" ht="18" hidden="1" customHeight="1" x14ac:dyDescent="0.25">
      <c r="C1618" s="202"/>
      <c r="D1618" s="81"/>
      <c r="E1618" s="81"/>
      <c r="F1618" s="81"/>
      <c r="G1618" s="81"/>
      <c r="H1618" s="81"/>
      <c r="I1618" s="167"/>
      <c r="J1618" s="168"/>
      <c r="K1618" s="167"/>
      <c r="L1618" s="168"/>
      <c r="M1618" s="169"/>
      <c r="N1618" s="169"/>
      <c r="O1618" s="169"/>
      <c r="P1618" s="93"/>
    </row>
    <row r="1619" spans="2:16" s="146" customFormat="1" ht="18" hidden="1" customHeight="1" x14ac:dyDescent="0.25">
      <c r="C1619" s="202"/>
      <c r="D1619" s="81"/>
      <c r="E1619" s="81"/>
      <c r="F1619" s="81"/>
      <c r="G1619" s="81"/>
      <c r="H1619" s="81"/>
      <c r="I1619" s="167"/>
      <c r="J1619" s="168"/>
      <c r="K1619" s="167"/>
      <c r="L1619" s="168"/>
      <c r="M1619" s="169"/>
      <c r="N1619" s="169"/>
      <c r="O1619" s="169"/>
      <c r="P1619" s="93"/>
    </row>
    <row r="1620" spans="2:16" s="146" customFormat="1" ht="18" hidden="1" customHeight="1" x14ac:dyDescent="0.25">
      <c r="C1620" s="80"/>
      <c r="D1620" s="81"/>
      <c r="E1620" s="330"/>
      <c r="F1620" s="330"/>
      <c r="G1620" s="330"/>
      <c r="H1620" s="330"/>
      <c r="I1620" s="330"/>
      <c r="J1620" s="330"/>
      <c r="K1620" s="330"/>
      <c r="L1620" s="330"/>
      <c r="M1620" s="330"/>
      <c r="N1620" s="330"/>
      <c r="O1620" s="94"/>
      <c r="P1620" s="93"/>
    </row>
    <row r="1621" spans="2:16" s="146" customFormat="1" ht="18" hidden="1" customHeight="1" x14ac:dyDescent="0.25">
      <c r="C1621" s="80"/>
      <c r="D1621" s="180"/>
      <c r="E1621" s="180"/>
      <c r="F1621" s="180"/>
      <c r="G1621" s="180"/>
      <c r="H1621" s="180"/>
      <c r="I1621" s="180"/>
      <c r="J1621" s="180"/>
      <c r="K1621" s="180"/>
      <c r="L1621" s="328"/>
      <c r="M1621" s="181"/>
      <c r="N1621" s="182"/>
      <c r="O1621" s="95"/>
      <c r="P1621" s="93"/>
    </row>
    <row r="1622" spans="2:16" s="146" customFormat="1" ht="18" hidden="1" customHeight="1" x14ac:dyDescent="0.25">
      <c r="C1622" s="80"/>
      <c r="D1622" s="331"/>
      <c r="E1622" s="331"/>
      <c r="F1622" s="331"/>
      <c r="G1622" s="331"/>
      <c r="H1622" s="331"/>
      <c r="I1622" s="331"/>
      <c r="J1622" s="331"/>
      <c r="K1622" s="331"/>
      <c r="L1622" s="328"/>
      <c r="M1622" s="332"/>
      <c r="N1622" s="328"/>
      <c r="O1622" s="95"/>
      <c r="P1622" s="93"/>
    </row>
    <row r="1623" spans="2:16" s="146" customFormat="1" ht="18" hidden="1" customHeight="1" x14ac:dyDescent="0.25">
      <c r="C1623" s="80"/>
      <c r="D1623" s="331"/>
      <c r="E1623" s="331"/>
      <c r="F1623" s="331"/>
      <c r="G1623" s="331"/>
      <c r="H1623" s="331"/>
      <c r="I1623" s="331"/>
      <c r="J1623" s="331"/>
      <c r="K1623" s="331"/>
      <c r="L1623" s="328"/>
      <c r="M1623" s="332"/>
      <c r="N1623" s="328"/>
      <c r="O1623" s="95"/>
      <c r="P1623" s="93"/>
    </row>
    <row r="1624" spans="2:16" s="146" customFormat="1" ht="18" hidden="1" customHeight="1" x14ac:dyDescent="0.25">
      <c r="C1624" s="80"/>
      <c r="D1624" s="331"/>
      <c r="E1624" s="331"/>
      <c r="F1624" s="331"/>
      <c r="G1624" s="331"/>
      <c r="H1624" s="331"/>
      <c r="I1624" s="331"/>
      <c r="J1624" s="331"/>
      <c r="K1624" s="331"/>
      <c r="L1624" s="328"/>
      <c r="M1624" s="332"/>
      <c r="N1624" s="328"/>
      <c r="O1624" s="95"/>
      <c r="P1624" s="93"/>
    </row>
    <row r="1625" spans="2:16" s="146" customFormat="1" ht="9.9499999999999993" hidden="1" customHeight="1" thickBot="1" x14ac:dyDescent="0.3">
      <c r="C1625" s="80"/>
      <c r="D1625" s="81"/>
      <c r="E1625" s="81"/>
      <c r="F1625" s="81"/>
      <c r="G1625" s="81"/>
      <c r="H1625" s="81"/>
      <c r="I1625" s="81"/>
      <c r="J1625" s="81"/>
      <c r="K1625" s="81"/>
      <c r="L1625" s="81"/>
      <c r="M1625" s="81"/>
      <c r="N1625" s="81"/>
      <c r="O1625" s="96"/>
      <c r="P1625" s="97"/>
    </row>
    <row r="1626" spans="2:16" s="146" customFormat="1" ht="18" hidden="1" customHeight="1" x14ac:dyDescent="0.25">
      <c r="B1626" s="31" t="s">
        <v>34</v>
      </c>
      <c r="C1626" s="29"/>
      <c r="E1626" s="30"/>
      <c r="F1626" s="30"/>
      <c r="G1626" s="1041" t="s">
        <v>343</v>
      </c>
      <c r="H1626" s="1042"/>
      <c r="I1626" s="1042"/>
      <c r="J1626" s="1043"/>
      <c r="K1626" s="1085">
        <v>0</v>
      </c>
      <c r="L1626" s="1086"/>
      <c r="M1626" s="18"/>
      <c r="N1626" s="18"/>
      <c r="O1626" s="98"/>
      <c r="P1626" s="99"/>
    </row>
    <row r="1627" spans="2:16" s="146" customFormat="1" ht="18" hidden="1" customHeight="1" x14ac:dyDescent="0.25">
      <c r="B1627" s="31" t="str">
        <f>C1611</f>
        <v>6.13</v>
      </c>
      <c r="C1627" s="29"/>
      <c r="E1627" s="30"/>
      <c r="F1627" s="30"/>
      <c r="G1627" s="1082" t="s">
        <v>344</v>
      </c>
      <c r="H1627" s="1083"/>
      <c r="I1627" s="1083"/>
      <c r="J1627" s="1084"/>
      <c r="K1627" s="1075">
        <f>K1626+O1611</f>
        <v>0</v>
      </c>
      <c r="L1627" s="1076"/>
      <c r="M1627" s="18"/>
      <c r="N1627" s="18"/>
      <c r="O1627" s="98"/>
      <c r="P1627" s="99"/>
    </row>
    <row r="1628" spans="2:16" s="146" customFormat="1" ht="18" hidden="1" customHeight="1" x14ac:dyDescent="0.25">
      <c r="C1628" s="29"/>
      <c r="D1628" s="30"/>
      <c r="E1628" s="30"/>
      <c r="F1628" s="30"/>
      <c r="G1628" s="1082" t="s">
        <v>345</v>
      </c>
      <c r="H1628" s="1083"/>
      <c r="I1628" s="1083"/>
      <c r="J1628" s="1084"/>
      <c r="K1628" s="1075">
        <f>'BM DETALHADO'!E110</f>
        <v>250</v>
      </c>
      <c r="L1628" s="1076"/>
      <c r="M1628" s="18"/>
      <c r="N1628" s="18"/>
      <c r="O1628" s="98"/>
      <c r="P1628" s="99"/>
    </row>
    <row r="1629" spans="2:16" s="146" customFormat="1" ht="18" hidden="1" customHeight="1" thickBot="1" x14ac:dyDescent="0.3">
      <c r="C1629" s="29"/>
      <c r="D1629" s="30"/>
      <c r="E1629" s="30"/>
      <c r="F1629" s="30"/>
      <c r="G1629" s="1077" t="s">
        <v>346</v>
      </c>
      <c r="H1629" s="1078"/>
      <c r="I1629" s="1078"/>
      <c r="J1629" s="1079"/>
      <c r="K1629" s="1068">
        <f>K1628-K1627</f>
        <v>250</v>
      </c>
      <c r="L1629" s="1069"/>
      <c r="M1629" s="18"/>
      <c r="N1629" s="18"/>
      <c r="O1629" s="98"/>
      <c r="P1629" s="99"/>
    </row>
    <row r="1630" spans="2:16" s="146" customFormat="1" ht="9.9499999999999993" hidden="1" customHeight="1" thickBot="1" x14ac:dyDescent="0.3">
      <c r="C1630" s="21"/>
      <c r="D1630" s="22"/>
      <c r="E1630" s="22"/>
      <c r="F1630" s="22"/>
      <c r="G1630" s="27"/>
      <c r="H1630" s="27"/>
      <c r="I1630" s="27"/>
      <c r="J1630" s="27"/>
      <c r="K1630" s="28"/>
      <c r="L1630" s="28"/>
      <c r="M1630" s="22"/>
      <c r="N1630" s="22"/>
      <c r="O1630" s="100"/>
      <c r="P1630" s="101"/>
    </row>
    <row r="1631" spans="2:16" s="146" customFormat="1" ht="18" hidden="1" customHeight="1" x14ac:dyDescent="0.25">
      <c r="C1631" s="20" t="s">
        <v>34</v>
      </c>
      <c r="D1631" s="1052" t="s">
        <v>35</v>
      </c>
      <c r="E1631" s="1053"/>
      <c r="F1631" s="1053"/>
      <c r="G1631" s="1053"/>
      <c r="H1631" s="1053"/>
      <c r="I1631" s="1053"/>
      <c r="J1631" s="1053"/>
      <c r="K1631" s="1053"/>
      <c r="L1631" s="1053"/>
      <c r="M1631" s="1054"/>
      <c r="N1631" s="145" t="s">
        <v>0</v>
      </c>
      <c r="O1631" s="1107" t="s">
        <v>4</v>
      </c>
      <c r="P1631" s="1108"/>
    </row>
    <row r="1632" spans="2:16" s="146" customFormat="1" ht="69.95" hidden="1" customHeight="1" thickBot="1" x14ac:dyDescent="0.3">
      <c r="C1632" s="85" t="s">
        <v>252</v>
      </c>
      <c r="D1632" s="1070" t="str">
        <f>VLOOKUP(C1632,'BM DETALHADO'!$B$13:$D$126,2,FALSE)</f>
        <v>CONFERENCIA DE PEÇAS DE MADEIRA DO TELHADO( TESTE DE RESISTENCIA)  DESCUPINIZAÇÃO.</v>
      </c>
      <c r="E1632" s="1071"/>
      <c r="F1632" s="1071"/>
      <c r="G1632" s="1071"/>
      <c r="H1632" s="1071"/>
      <c r="I1632" s="1071"/>
      <c r="J1632" s="1071"/>
      <c r="K1632" s="1071"/>
      <c r="L1632" s="1071"/>
      <c r="M1632" s="1072"/>
      <c r="N1632" s="19" t="str">
        <f>VLOOKUP(C1632,'BM DETALHADO'!$B$13:$D$126,3,FALSE)</f>
        <v>M2</v>
      </c>
      <c r="O1632" s="1109"/>
      <c r="P1632" s="1110"/>
    </row>
    <row r="1633" spans="2:16" s="146" customFormat="1" ht="9.9499999999999993" hidden="1" customHeight="1" x14ac:dyDescent="0.25">
      <c r="C1633" s="77"/>
      <c r="D1633" s="78"/>
      <c r="E1633" s="79"/>
      <c r="F1633" s="79"/>
      <c r="G1633" s="79"/>
      <c r="H1633" s="79"/>
      <c r="I1633" s="79"/>
      <c r="J1633" s="79"/>
      <c r="K1633" s="79"/>
      <c r="L1633" s="79"/>
      <c r="M1633" s="79"/>
      <c r="N1633" s="79"/>
      <c r="O1633" s="91"/>
      <c r="P1633" s="92"/>
    </row>
    <row r="1634" spans="2:16" s="146" customFormat="1" ht="18" hidden="1" customHeight="1" x14ac:dyDescent="0.25">
      <c r="C1634" s="336"/>
      <c r="D1634" s="81"/>
      <c r="E1634" s="81"/>
      <c r="F1634" s="81"/>
      <c r="G1634" s="81"/>
      <c r="H1634" s="330"/>
      <c r="I1634" s="344"/>
      <c r="J1634" s="339"/>
      <c r="K1634" s="344"/>
      <c r="L1634" s="339"/>
      <c r="M1634" s="169"/>
      <c r="N1634" s="169"/>
      <c r="O1634" s="343"/>
      <c r="P1634" s="93"/>
    </row>
    <row r="1635" spans="2:16" s="146" customFormat="1" ht="18" hidden="1" customHeight="1" x14ac:dyDescent="0.25">
      <c r="C1635" s="336"/>
      <c r="D1635" s="333"/>
      <c r="E1635" s="333"/>
      <c r="F1635" s="333"/>
      <c r="G1635" s="333"/>
      <c r="H1635" s="330"/>
      <c r="I1635" s="330"/>
      <c r="J1635" s="330"/>
      <c r="K1635" s="330"/>
      <c r="L1635" s="330"/>
      <c r="M1635" s="330"/>
      <c r="N1635" s="330"/>
      <c r="O1635" s="94"/>
      <c r="P1635" s="93"/>
    </row>
    <row r="1636" spans="2:16" s="146" customFormat="1" ht="18" hidden="1" customHeight="1" x14ac:dyDescent="0.25">
      <c r="C1636" s="202"/>
      <c r="D1636" s="81"/>
      <c r="E1636" s="81"/>
      <c r="F1636" s="81"/>
      <c r="G1636" s="81"/>
      <c r="H1636" s="81"/>
      <c r="I1636" s="167"/>
      <c r="J1636" s="168"/>
      <c r="K1636" s="167"/>
      <c r="L1636" s="168"/>
      <c r="M1636" s="169"/>
      <c r="N1636" s="169"/>
      <c r="O1636" s="169"/>
      <c r="P1636" s="93"/>
    </row>
    <row r="1637" spans="2:16" s="146" customFormat="1" ht="18" hidden="1" customHeight="1" x14ac:dyDescent="0.25">
      <c r="C1637" s="202"/>
      <c r="D1637" s="81"/>
      <c r="E1637" s="81"/>
      <c r="F1637" s="81"/>
      <c r="G1637" s="81"/>
      <c r="H1637" s="81"/>
      <c r="I1637" s="167"/>
      <c r="J1637" s="168"/>
      <c r="K1637" s="167"/>
      <c r="L1637" s="168"/>
      <c r="M1637" s="169"/>
      <c r="N1637" s="169"/>
      <c r="O1637" s="169"/>
      <c r="P1637" s="93"/>
    </row>
    <row r="1638" spans="2:16" s="146" customFormat="1" ht="18" hidden="1" customHeight="1" x14ac:dyDescent="0.25">
      <c r="C1638" s="202"/>
      <c r="D1638" s="81"/>
      <c r="E1638" s="81"/>
      <c r="F1638" s="81"/>
      <c r="G1638" s="81"/>
      <c r="H1638" s="81"/>
      <c r="I1638" s="167"/>
      <c r="J1638" s="168"/>
      <c r="K1638" s="167"/>
      <c r="L1638" s="168"/>
      <c r="M1638" s="169"/>
      <c r="N1638" s="169"/>
      <c r="O1638" s="169"/>
      <c r="P1638" s="93"/>
    </row>
    <row r="1639" spans="2:16" s="146" customFormat="1" ht="18" hidden="1" customHeight="1" x14ac:dyDescent="0.25">
      <c r="C1639" s="202"/>
      <c r="D1639" s="81"/>
      <c r="E1639" s="81"/>
      <c r="F1639" s="81"/>
      <c r="G1639" s="81"/>
      <c r="H1639" s="81"/>
      <c r="I1639" s="167"/>
      <c r="J1639" s="168"/>
      <c r="K1639" s="167"/>
      <c r="L1639" s="168"/>
      <c r="M1639" s="169"/>
      <c r="N1639" s="169"/>
      <c r="O1639" s="169"/>
      <c r="P1639" s="93"/>
    </row>
    <row r="1640" spans="2:16" s="146" customFormat="1" ht="18" hidden="1" customHeight="1" x14ac:dyDescent="0.25">
      <c r="C1640" s="202"/>
      <c r="D1640" s="81"/>
      <c r="E1640" s="81"/>
      <c r="F1640" s="81"/>
      <c r="G1640" s="81"/>
      <c r="H1640" s="81"/>
      <c r="I1640" s="167"/>
      <c r="J1640" s="168"/>
      <c r="K1640" s="167"/>
      <c r="L1640" s="168"/>
      <c r="M1640" s="169"/>
      <c r="N1640" s="169"/>
      <c r="O1640" s="169"/>
      <c r="P1640" s="93"/>
    </row>
    <row r="1641" spans="2:16" s="146" customFormat="1" ht="18" hidden="1" customHeight="1" x14ac:dyDescent="0.25">
      <c r="C1641" s="80"/>
      <c r="D1641" s="81"/>
      <c r="E1641" s="330"/>
      <c r="F1641" s="330"/>
      <c r="G1641" s="330"/>
      <c r="H1641" s="330"/>
      <c r="I1641" s="330"/>
      <c r="J1641" s="330"/>
      <c r="K1641" s="330"/>
      <c r="L1641" s="330"/>
      <c r="M1641" s="330"/>
      <c r="N1641" s="330"/>
      <c r="O1641" s="94"/>
      <c r="P1641" s="93"/>
    </row>
    <row r="1642" spans="2:16" s="146" customFormat="1" ht="18" hidden="1" customHeight="1" x14ac:dyDescent="0.25">
      <c r="C1642" s="80"/>
      <c r="D1642" s="180"/>
      <c r="E1642" s="180"/>
      <c r="F1642" s="180"/>
      <c r="G1642" s="180"/>
      <c r="H1642" s="180"/>
      <c r="I1642" s="180"/>
      <c r="J1642" s="180"/>
      <c r="K1642" s="180"/>
      <c r="L1642" s="328"/>
      <c r="M1642" s="181"/>
      <c r="N1642" s="182"/>
      <c r="O1642" s="95"/>
      <c r="P1642" s="93"/>
    </row>
    <row r="1643" spans="2:16" s="146" customFormat="1" ht="18" hidden="1" customHeight="1" x14ac:dyDescent="0.25">
      <c r="C1643" s="80"/>
      <c r="D1643" s="331"/>
      <c r="E1643" s="331"/>
      <c r="F1643" s="331"/>
      <c r="G1643" s="331"/>
      <c r="H1643" s="331"/>
      <c r="I1643" s="331"/>
      <c r="J1643" s="331"/>
      <c r="K1643" s="331"/>
      <c r="L1643" s="328"/>
      <c r="M1643" s="332"/>
      <c r="N1643" s="328"/>
      <c r="O1643" s="95"/>
      <c r="P1643" s="93"/>
    </row>
    <row r="1644" spans="2:16" s="146" customFormat="1" ht="18" hidden="1" customHeight="1" x14ac:dyDescent="0.25">
      <c r="C1644" s="80"/>
      <c r="D1644" s="331"/>
      <c r="E1644" s="331"/>
      <c r="F1644" s="331"/>
      <c r="G1644" s="331"/>
      <c r="H1644" s="331"/>
      <c r="I1644" s="331"/>
      <c r="J1644" s="331"/>
      <c r="K1644" s="331"/>
      <c r="L1644" s="328"/>
      <c r="M1644" s="332"/>
      <c r="N1644" s="328"/>
      <c r="O1644" s="95"/>
      <c r="P1644" s="93"/>
    </row>
    <row r="1645" spans="2:16" s="146" customFormat="1" ht="18" hidden="1" customHeight="1" x14ac:dyDescent="0.25">
      <c r="C1645" s="80"/>
      <c r="D1645" s="331"/>
      <c r="E1645" s="331"/>
      <c r="F1645" s="331"/>
      <c r="G1645" s="331"/>
      <c r="H1645" s="331"/>
      <c r="I1645" s="331"/>
      <c r="J1645" s="331"/>
      <c r="K1645" s="331"/>
      <c r="L1645" s="328"/>
      <c r="M1645" s="332"/>
      <c r="N1645" s="328"/>
      <c r="O1645" s="95"/>
      <c r="P1645" s="93"/>
    </row>
    <row r="1646" spans="2:16" s="146" customFormat="1" ht="9.9499999999999993" hidden="1" customHeight="1" thickBot="1" x14ac:dyDescent="0.3">
      <c r="C1646" s="80"/>
      <c r="D1646" s="81"/>
      <c r="E1646" s="81"/>
      <c r="F1646" s="81"/>
      <c r="G1646" s="81"/>
      <c r="H1646" s="81"/>
      <c r="I1646" s="81"/>
      <c r="J1646" s="81"/>
      <c r="K1646" s="81"/>
      <c r="L1646" s="81"/>
      <c r="M1646" s="81"/>
      <c r="N1646" s="81"/>
      <c r="O1646" s="96"/>
      <c r="P1646" s="97"/>
    </row>
    <row r="1647" spans="2:16" s="146" customFormat="1" ht="18" hidden="1" customHeight="1" x14ac:dyDescent="0.25">
      <c r="B1647" s="31" t="s">
        <v>34</v>
      </c>
      <c r="C1647" s="29"/>
      <c r="E1647" s="30"/>
      <c r="F1647" s="30"/>
      <c r="G1647" s="1041" t="s">
        <v>343</v>
      </c>
      <c r="H1647" s="1042"/>
      <c r="I1647" s="1042"/>
      <c r="J1647" s="1043"/>
      <c r="K1647" s="1085">
        <f>'[26]MEMÓRIA DE CÁLCULO'!$K$1722</f>
        <v>569.24</v>
      </c>
      <c r="L1647" s="1086"/>
      <c r="M1647" s="18"/>
      <c r="N1647" s="18"/>
      <c r="O1647" s="98"/>
      <c r="P1647" s="99"/>
    </row>
    <row r="1648" spans="2:16" s="146" customFormat="1" ht="18" hidden="1" customHeight="1" x14ac:dyDescent="0.25">
      <c r="B1648" s="31" t="str">
        <f>C1632</f>
        <v>7.1</v>
      </c>
      <c r="C1648" s="29"/>
      <c r="E1648" s="30"/>
      <c r="F1648" s="30"/>
      <c r="G1648" s="1082" t="s">
        <v>344</v>
      </c>
      <c r="H1648" s="1083"/>
      <c r="I1648" s="1083"/>
      <c r="J1648" s="1084"/>
      <c r="K1648" s="1075">
        <f>K1647+O1632</f>
        <v>569.24</v>
      </c>
      <c r="L1648" s="1076"/>
      <c r="M1648" s="18"/>
      <c r="N1648" s="18"/>
      <c r="O1648" s="98"/>
      <c r="P1648" s="99"/>
    </row>
    <row r="1649" spans="3:16" s="146" customFormat="1" ht="18" hidden="1" customHeight="1" x14ac:dyDescent="0.25">
      <c r="C1649" s="29"/>
      <c r="D1649" s="30"/>
      <c r="E1649" s="30"/>
      <c r="F1649" s="30"/>
      <c r="G1649" s="1082" t="s">
        <v>345</v>
      </c>
      <c r="H1649" s="1083"/>
      <c r="I1649" s="1083"/>
      <c r="J1649" s="1084"/>
      <c r="K1649" s="1075">
        <f>VLOOKUP(C1632,'[26]BM DETALHADO'!$B$13:$E$126,4,FALSE)</f>
        <v>569.24</v>
      </c>
      <c r="L1649" s="1076"/>
      <c r="M1649" s="18"/>
      <c r="N1649" s="18"/>
      <c r="O1649" s="98"/>
      <c r="P1649" s="99"/>
    </row>
    <row r="1650" spans="3:16" s="146" customFormat="1" ht="18" hidden="1" customHeight="1" thickBot="1" x14ac:dyDescent="0.3">
      <c r="C1650" s="29"/>
      <c r="D1650" s="30"/>
      <c r="E1650" s="30"/>
      <c r="F1650" s="30"/>
      <c r="G1650" s="1077" t="s">
        <v>346</v>
      </c>
      <c r="H1650" s="1078"/>
      <c r="I1650" s="1078"/>
      <c r="J1650" s="1079"/>
      <c r="K1650" s="1068">
        <f>K1649-K1648</f>
        <v>0</v>
      </c>
      <c r="L1650" s="1069"/>
      <c r="M1650" s="18"/>
      <c r="N1650" s="18"/>
      <c r="O1650" s="98"/>
      <c r="P1650" s="99"/>
    </row>
    <row r="1651" spans="3:16" s="146" customFormat="1" ht="9.9499999999999993" hidden="1" customHeight="1" thickBot="1" x14ac:dyDescent="0.3">
      <c r="C1651" s="21"/>
      <c r="D1651" s="22"/>
      <c r="E1651" s="22"/>
      <c r="F1651" s="22"/>
      <c r="G1651" s="27"/>
      <c r="H1651" s="27"/>
      <c r="I1651" s="27"/>
      <c r="J1651" s="27"/>
      <c r="K1651" s="28"/>
      <c r="L1651" s="28"/>
      <c r="M1651" s="22"/>
      <c r="N1651" s="22"/>
      <c r="O1651" s="100"/>
      <c r="P1651" s="101"/>
    </row>
    <row r="1652" spans="3:16" s="146" customFormat="1" ht="18" hidden="1" customHeight="1" x14ac:dyDescent="0.25">
      <c r="C1652" s="20" t="s">
        <v>34</v>
      </c>
      <c r="D1652" s="1052" t="s">
        <v>35</v>
      </c>
      <c r="E1652" s="1053"/>
      <c r="F1652" s="1053"/>
      <c r="G1652" s="1053"/>
      <c r="H1652" s="1053"/>
      <c r="I1652" s="1053"/>
      <c r="J1652" s="1053"/>
      <c r="K1652" s="1053"/>
      <c r="L1652" s="1053"/>
      <c r="M1652" s="1054"/>
      <c r="N1652" s="145" t="s">
        <v>0</v>
      </c>
      <c r="O1652" s="1107" t="s">
        <v>4</v>
      </c>
      <c r="P1652" s="1108"/>
    </row>
    <row r="1653" spans="3:16" s="146" customFormat="1" ht="69.95" hidden="1" customHeight="1" thickBot="1" x14ac:dyDescent="0.3">
      <c r="C1653" s="85" t="s">
        <v>254</v>
      </c>
      <c r="D1653" s="1070" t="str">
        <f>VLOOKUP(C1653,'BM DETALHADO'!$B$13:$D$126,2,FALSE)</f>
        <v>FORNECIMENTO DE COMPLEMENTO DE MADEIRA DO TELHADO COM PEÇAS DE DIMENSÕES E MATERIAL SIMILAR OU IDENTICO, APLICADO CUPINICIDA</v>
      </c>
      <c r="E1653" s="1071"/>
      <c r="F1653" s="1071"/>
      <c r="G1653" s="1071"/>
      <c r="H1653" s="1071"/>
      <c r="I1653" s="1071"/>
      <c r="J1653" s="1071"/>
      <c r="K1653" s="1071"/>
      <c r="L1653" s="1071"/>
      <c r="M1653" s="1072"/>
      <c r="N1653" s="19" t="str">
        <f>VLOOKUP(C1653,'BM DETALHADO'!$B$13:$D$126,3,FALSE)</f>
        <v>M3</v>
      </c>
      <c r="O1653" s="1109"/>
      <c r="P1653" s="1110"/>
    </row>
    <row r="1654" spans="3:16" s="146" customFormat="1" ht="9.9499999999999993" hidden="1" customHeight="1" x14ac:dyDescent="0.25">
      <c r="C1654" s="77"/>
      <c r="D1654" s="78"/>
      <c r="E1654" s="79"/>
      <c r="F1654" s="79"/>
      <c r="G1654" s="79"/>
      <c r="H1654" s="79"/>
      <c r="I1654" s="79"/>
      <c r="J1654" s="79"/>
      <c r="K1654" s="79"/>
      <c r="L1654" s="79"/>
      <c r="M1654" s="79"/>
      <c r="N1654" s="79"/>
      <c r="O1654" s="91"/>
      <c r="P1654" s="92"/>
    </row>
    <row r="1655" spans="3:16" s="146" customFormat="1" ht="18" hidden="1" customHeight="1" x14ac:dyDescent="0.25">
      <c r="C1655" s="336"/>
      <c r="D1655" s="219"/>
      <c r="E1655" s="219"/>
      <c r="F1655" s="219"/>
      <c r="G1655" s="211"/>
      <c r="H1655" s="263"/>
      <c r="I1655" s="215"/>
      <c r="J1655" s="216"/>
      <c r="K1655" s="215"/>
      <c r="L1655" s="216"/>
      <c r="M1655" s="212"/>
      <c r="N1655" s="326"/>
      <c r="O1655" s="305"/>
      <c r="P1655" s="187"/>
    </row>
    <row r="1656" spans="3:16" s="146" customFormat="1" ht="18" hidden="1" customHeight="1" x14ac:dyDescent="0.25">
      <c r="C1656" s="336"/>
      <c r="D1656" s="219"/>
      <c r="E1656" s="219"/>
      <c r="F1656" s="219"/>
      <c r="G1656" s="211"/>
      <c r="H1656" s="263"/>
      <c r="I1656" s="215"/>
      <c r="J1656" s="216"/>
      <c r="K1656" s="215"/>
      <c r="L1656" s="216"/>
      <c r="M1656" s="212"/>
      <c r="N1656" s="326"/>
      <c r="O1656" s="305"/>
      <c r="P1656" s="187"/>
    </row>
    <row r="1657" spans="3:16" s="146" customFormat="1" ht="18" hidden="1" customHeight="1" x14ac:dyDescent="0.25">
      <c r="C1657" s="202"/>
      <c r="D1657" s="81"/>
      <c r="E1657" s="81"/>
      <c r="F1657" s="81"/>
      <c r="G1657" s="81"/>
      <c r="H1657" s="81"/>
      <c r="I1657" s="81"/>
      <c r="J1657" s="81"/>
      <c r="K1657" s="81"/>
      <c r="L1657" s="81"/>
      <c r="M1657" s="81"/>
      <c r="N1657" s="81"/>
      <c r="O1657" s="81"/>
      <c r="P1657" s="187"/>
    </row>
    <row r="1658" spans="3:16" s="146" customFormat="1" ht="18" hidden="1" customHeight="1" x14ac:dyDescent="0.25">
      <c r="C1658" s="202"/>
      <c r="D1658" s="81"/>
      <c r="E1658" s="81"/>
      <c r="F1658" s="81"/>
      <c r="G1658" s="81"/>
      <c r="H1658" s="81"/>
      <c r="I1658" s="81"/>
      <c r="J1658" s="81"/>
      <c r="K1658" s="81"/>
      <c r="L1658" s="81"/>
      <c r="M1658" s="81"/>
      <c r="N1658" s="81"/>
      <c r="O1658" s="81"/>
      <c r="P1658" s="187"/>
    </row>
    <row r="1659" spans="3:16" s="146" customFormat="1" ht="18" hidden="1" customHeight="1" x14ac:dyDescent="0.25">
      <c r="C1659" s="202"/>
      <c r="D1659" s="81"/>
      <c r="E1659" s="81"/>
      <c r="F1659" s="81"/>
      <c r="G1659" s="81"/>
      <c r="H1659" s="81"/>
      <c r="I1659" s="81"/>
      <c r="J1659" s="81"/>
      <c r="K1659" s="81"/>
      <c r="L1659" s="81"/>
      <c r="M1659" s="81"/>
      <c r="N1659" s="81"/>
      <c r="O1659" s="81"/>
      <c r="P1659" s="187"/>
    </row>
    <row r="1660" spans="3:16" s="146" customFormat="1" ht="18" hidden="1" customHeight="1" x14ac:dyDescent="0.25">
      <c r="C1660" s="202"/>
      <c r="D1660" s="81"/>
      <c r="E1660" s="81"/>
      <c r="F1660" s="81"/>
      <c r="G1660" s="81"/>
      <c r="H1660" s="81"/>
      <c r="I1660" s="81"/>
      <c r="J1660" s="81"/>
      <c r="K1660" s="81"/>
      <c r="L1660" s="81"/>
      <c r="M1660" s="81"/>
      <c r="N1660" s="81"/>
      <c r="O1660" s="81"/>
      <c r="P1660" s="187"/>
    </row>
    <row r="1661" spans="3:16" s="146" customFormat="1" ht="18" hidden="1" customHeight="1" x14ac:dyDescent="0.25">
      <c r="C1661" s="202"/>
      <c r="D1661" s="81"/>
      <c r="E1661" s="81"/>
      <c r="F1661" s="81"/>
      <c r="G1661" s="81"/>
      <c r="H1661" s="81"/>
      <c r="I1661" s="81"/>
      <c r="J1661" s="81"/>
      <c r="K1661" s="81"/>
      <c r="L1661" s="81"/>
      <c r="M1661" s="81"/>
      <c r="N1661" s="81"/>
      <c r="O1661" s="81"/>
      <c r="P1661" s="187"/>
    </row>
    <row r="1662" spans="3:16" s="146" customFormat="1" ht="18" hidden="1" customHeight="1" x14ac:dyDescent="0.25">
      <c r="C1662" s="80"/>
      <c r="D1662" s="81"/>
      <c r="E1662" s="81"/>
      <c r="F1662" s="81"/>
      <c r="G1662" s="81"/>
      <c r="H1662" s="81"/>
      <c r="I1662" s="81"/>
      <c r="J1662" s="81"/>
      <c r="K1662" s="81"/>
      <c r="L1662" s="81"/>
      <c r="M1662" s="81"/>
      <c r="N1662" s="81"/>
      <c r="O1662" s="81"/>
      <c r="P1662" s="187"/>
    </row>
    <row r="1663" spans="3:16" s="146" customFormat="1" ht="18" hidden="1" customHeight="1" x14ac:dyDescent="0.25">
      <c r="C1663" s="80"/>
      <c r="D1663" s="81"/>
      <c r="E1663" s="81"/>
      <c r="F1663" s="81"/>
      <c r="G1663" s="81"/>
      <c r="H1663" s="81"/>
      <c r="I1663" s="81"/>
      <c r="J1663" s="81"/>
      <c r="K1663" s="81"/>
      <c r="L1663" s="81"/>
      <c r="M1663" s="81"/>
      <c r="N1663" s="81"/>
      <c r="O1663" s="81"/>
      <c r="P1663" s="187"/>
    </row>
    <row r="1664" spans="3:16" s="146" customFormat="1" ht="18" hidden="1" customHeight="1" x14ac:dyDescent="0.25">
      <c r="C1664" s="80"/>
      <c r="D1664" s="81"/>
      <c r="E1664" s="81"/>
      <c r="F1664" s="81"/>
      <c r="G1664" s="81"/>
      <c r="H1664" s="81"/>
      <c r="I1664" s="81"/>
      <c r="J1664" s="81"/>
      <c r="K1664" s="81"/>
      <c r="L1664" s="81"/>
      <c r="M1664" s="81"/>
      <c r="N1664" s="81"/>
      <c r="O1664" s="81"/>
      <c r="P1664" s="187"/>
    </row>
    <row r="1665" spans="2:16" s="146" customFormat="1" ht="18" hidden="1" customHeight="1" x14ac:dyDescent="0.25">
      <c r="C1665" s="80"/>
      <c r="D1665" s="81"/>
      <c r="E1665" s="81"/>
      <c r="F1665" s="81"/>
      <c r="G1665" s="81"/>
      <c r="H1665" s="81"/>
      <c r="I1665" s="81"/>
      <c r="J1665" s="81"/>
      <c r="K1665" s="81"/>
      <c r="L1665" s="81"/>
      <c r="M1665" s="81"/>
      <c r="N1665" s="81"/>
      <c r="O1665" s="81"/>
      <c r="P1665" s="187"/>
    </row>
    <row r="1666" spans="2:16" s="146" customFormat="1" ht="18" hidden="1" customHeight="1" x14ac:dyDescent="0.25">
      <c r="C1666" s="80"/>
      <c r="D1666" s="81"/>
      <c r="E1666" s="81"/>
      <c r="F1666" s="81"/>
      <c r="G1666" s="81"/>
      <c r="H1666" s="81"/>
      <c r="I1666" s="81"/>
      <c r="J1666" s="81"/>
      <c r="K1666" s="81"/>
      <c r="L1666" s="81"/>
      <c r="M1666" s="81"/>
      <c r="N1666" s="81"/>
      <c r="O1666" s="81"/>
      <c r="P1666" s="187"/>
    </row>
    <row r="1667" spans="2:16" s="146" customFormat="1" ht="9.9499999999999993" hidden="1" customHeight="1" thickBot="1" x14ac:dyDescent="0.3">
      <c r="C1667" s="80"/>
      <c r="D1667" s="81"/>
      <c r="E1667" s="81"/>
      <c r="F1667" s="81"/>
      <c r="G1667" s="81"/>
      <c r="H1667" s="81"/>
      <c r="I1667" s="81"/>
      <c r="J1667" s="81"/>
      <c r="K1667" s="81"/>
      <c r="L1667" s="81"/>
      <c r="M1667" s="81"/>
      <c r="N1667" s="81"/>
      <c r="O1667" s="81"/>
      <c r="P1667" s="187"/>
    </row>
    <row r="1668" spans="2:16" s="146" customFormat="1" ht="18" hidden="1" customHeight="1" x14ac:dyDescent="0.25">
      <c r="B1668" s="31" t="s">
        <v>34</v>
      </c>
      <c r="C1668" s="29"/>
      <c r="E1668" s="30"/>
      <c r="F1668" s="30"/>
      <c r="G1668" s="1041" t="s">
        <v>343</v>
      </c>
      <c r="H1668" s="1042"/>
      <c r="I1668" s="1042"/>
      <c r="J1668" s="1043"/>
      <c r="K1668" s="1085">
        <f>'[25]MEMÓRIA DE CÁLCULO'!$K$1736</f>
        <v>0.13</v>
      </c>
      <c r="L1668" s="1086"/>
      <c r="M1668" s="18"/>
      <c r="N1668" s="18"/>
      <c r="O1668" s="98"/>
      <c r="P1668" s="99"/>
    </row>
    <row r="1669" spans="2:16" s="146" customFormat="1" ht="18" hidden="1" customHeight="1" x14ac:dyDescent="0.25">
      <c r="B1669" s="31" t="str">
        <f>C1653</f>
        <v>7.2</v>
      </c>
      <c r="C1669" s="29"/>
      <c r="E1669" s="30"/>
      <c r="F1669" s="30"/>
      <c r="G1669" s="1082" t="s">
        <v>344</v>
      </c>
      <c r="H1669" s="1083"/>
      <c r="I1669" s="1083"/>
      <c r="J1669" s="1084"/>
      <c r="K1669" s="1075">
        <f>K1668+O1653</f>
        <v>0.13</v>
      </c>
      <c r="L1669" s="1076"/>
      <c r="M1669" s="18"/>
      <c r="N1669" s="18"/>
      <c r="O1669" s="98"/>
      <c r="P1669" s="99"/>
    </row>
    <row r="1670" spans="2:16" s="146" customFormat="1" ht="18" hidden="1" customHeight="1" x14ac:dyDescent="0.25">
      <c r="C1670" s="29"/>
      <c r="D1670" s="30"/>
      <c r="E1670" s="30"/>
      <c r="F1670" s="30"/>
      <c r="G1670" s="1082" t="s">
        <v>345</v>
      </c>
      <c r="H1670" s="1083"/>
      <c r="I1670" s="1083"/>
      <c r="J1670" s="1084"/>
      <c r="K1670" s="1075">
        <f>'BM DETALHADO'!E113</f>
        <v>26.23</v>
      </c>
      <c r="L1670" s="1076"/>
      <c r="M1670" s="18"/>
      <c r="N1670" s="18"/>
      <c r="O1670" s="98"/>
      <c r="P1670" s="99"/>
    </row>
    <row r="1671" spans="2:16" s="146" customFormat="1" ht="18" hidden="1" customHeight="1" thickBot="1" x14ac:dyDescent="0.3">
      <c r="C1671" s="29"/>
      <c r="D1671" s="30"/>
      <c r="E1671" s="30"/>
      <c r="F1671" s="30"/>
      <c r="G1671" s="1077" t="s">
        <v>346</v>
      </c>
      <c r="H1671" s="1078"/>
      <c r="I1671" s="1078"/>
      <c r="J1671" s="1079"/>
      <c r="K1671" s="1068">
        <f>K1670-K1669</f>
        <v>26.1</v>
      </c>
      <c r="L1671" s="1069"/>
      <c r="M1671" s="18"/>
      <c r="N1671" s="18"/>
      <c r="O1671" s="98"/>
      <c r="P1671" s="99"/>
    </row>
    <row r="1672" spans="2:16" s="146" customFormat="1" ht="9.9499999999999993" hidden="1" customHeight="1" thickBot="1" x14ac:dyDescent="0.3">
      <c r="C1672" s="21"/>
      <c r="D1672" s="22"/>
      <c r="E1672" s="22"/>
      <c r="F1672" s="22"/>
      <c r="G1672" s="27"/>
      <c r="H1672" s="27"/>
      <c r="I1672" s="27"/>
      <c r="J1672" s="27"/>
      <c r="K1672" s="28"/>
      <c r="L1672" s="28"/>
      <c r="M1672" s="22"/>
      <c r="N1672" s="22"/>
      <c r="O1672" s="100"/>
      <c r="P1672" s="101"/>
    </row>
    <row r="1673" spans="2:16" s="146" customFormat="1" ht="18" hidden="1" customHeight="1" x14ac:dyDescent="0.25">
      <c r="C1673" s="20" t="s">
        <v>34</v>
      </c>
      <c r="D1673" s="1052" t="s">
        <v>35</v>
      </c>
      <c r="E1673" s="1053"/>
      <c r="F1673" s="1053"/>
      <c r="G1673" s="1053"/>
      <c r="H1673" s="1053"/>
      <c r="I1673" s="1053"/>
      <c r="J1673" s="1053"/>
      <c r="K1673" s="1053"/>
      <c r="L1673" s="1053"/>
      <c r="M1673" s="1054"/>
      <c r="N1673" s="145" t="s">
        <v>0</v>
      </c>
      <c r="O1673" s="1107" t="s">
        <v>4</v>
      </c>
      <c r="P1673" s="1108"/>
    </row>
    <row r="1674" spans="2:16" s="146" customFormat="1" ht="69.95" hidden="1" customHeight="1" thickBot="1" x14ac:dyDescent="0.3">
      <c r="C1674" s="85" t="s">
        <v>256</v>
      </c>
      <c r="D1674" s="1070" t="str">
        <f>VLOOKUP(C1674,'BM DETALHADO'!$B$13:$D$126,2,FALSE)</f>
        <v>REFAZIMENTO DO TELHADO COM RETORNO DE TELHAS E AFINS, RECUPERADOS</v>
      </c>
      <c r="E1674" s="1071"/>
      <c r="F1674" s="1071"/>
      <c r="G1674" s="1071"/>
      <c r="H1674" s="1071"/>
      <c r="I1674" s="1071"/>
      <c r="J1674" s="1071"/>
      <c r="K1674" s="1071"/>
      <c r="L1674" s="1071"/>
      <c r="M1674" s="1072"/>
      <c r="N1674" s="19" t="str">
        <f>VLOOKUP(C1674,'BM DETALHADO'!$B$13:$D$126,3,FALSE)</f>
        <v>M2</v>
      </c>
      <c r="O1674" s="1109"/>
      <c r="P1674" s="1110"/>
    </row>
    <row r="1675" spans="2:16" s="146" customFormat="1" ht="9.9499999999999993" hidden="1" customHeight="1" x14ac:dyDescent="0.25">
      <c r="C1675" s="77"/>
      <c r="D1675" s="78"/>
      <c r="E1675" s="79"/>
      <c r="F1675" s="79"/>
      <c r="G1675" s="79"/>
      <c r="H1675" s="79"/>
      <c r="I1675" s="79"/>
      <c r="J1675" s="79"/>
      <c r="K1675" s="79"/>
      <c r="L1675" s="79"/>
      <c r="M1675" s="79"/>
      <c r="N1675" s="79"/>
      <c r="O1675" s="91"/>
      <c r="P1675" s="92"/>
    </row>
    <row r="1676" spans="2:16" s="146" customFormat="1" ht="18" hidden="1" customHeight="1" x14ac:dyDescent="0.25">
      <c r="C1676" s="336"/>
      <c r="D1676" s="81"/>
      <c r="E1676" s="81"/>
      <c r="F1676" s="81"/>
      <c r="G1676" s="81"/>
      <c r="H1676" s="330"/>
      <c r="I1676" s="344"/>
      <c r="J1676" s="339"/>
      <c r="K1676" s="344"/>
      <c r="L1676" s="339"/>
      <c r="M1676" s="169"/>
      <c r="N1676" s="169"/>
      <c r="O1676" s="343"/>
      <c r="P1676" s="93"/>
    </row>
    <row r="1677" spans="2:16" s="146" customFormat="1" ht="18" hidden="1" customHeight="1" x14ac:dyDescent="0.25">
      <c r="C1677" s="336"/>
      <c r="D1677" s="333"/>
      <c r="E1677" s="333"/>
      <c r="F1677" s="333"/>
      <c r="G1677" s="333"/>
      <c r="H1677" s="330"/>
      <c r="I1677" s="330"/>
      <c r="J1677" s="330"/>
      <c r="K1677" s="330"/>
      <c r="L1677" s="330"/>
      <c r="M1677" s="330"/>
      <c r="N1677" s="330"/>
      <c r="O1677" s="94"/>
      <c r="P1677" s="93"/>
    </row>
    <row r="1678" spans="2:16" s="146" customFormat="1" ht="18" hidden="1" customHeight="1" x14ac:dyDescent="0.25">
      <c r="C1678" s="202"/>
      <c r="D1678" s="81"/>
      <c r="E1678" s="81"/>
      <c r="F1678" s="81"/>
      <c r="G1678" s="81"/>
      <c r="H1678" s="81"/>
      <c r="I1678" s="167"/>
      <c r="J1678" s="168"/>
      <c r="K1678" s="167"/>
      <c r="L1678" s="168"/>
      <c r="M1678" s="169"/>
      <c r="N1678" s="169"/>
      <c r="O1678" s="169"/>
      <c r="P1678" s="93"/>
    </row>
    <row r="1679" spans="2:16" s="146" customFormat="1" ht="18" hidden="1" customHeight="1" x14ac:dyDescent="0.25">
      <c r="C1679" s="202"/>
      <c r="D1679" s="81"/>
      <c r="E1679" s="81"/>
      <c r="F1679" s="81"/>
      <c r="G1679" s="81"/>
      <c r="H1679" s="81"/>
      <c r="I1679" s="167"/>
      <c r="J1679" s="168"/>
      <c r="K1679" s="167"/>
      <c r="L1679" s="168"/>
      <c r="M1679" s="169"/>
      <c r="N1679" s="169"/>
      <c r="O1679" s="169"/>
      <c r="P1679" s="93"/>
    </row>
    <row r="1680" spans="2:16" s="146" customFormat="1" ht="18" hidden="1" customHeight="1" x14ac:dyDescent="0.25">
      <c r="C1680" s="202"/>
      <c r="D1680" s="81"/>
      <c r="E1680" s="81"/>
      <c r="F1680" s="81"/>
      <c r="G1680" s="81"/>
      <c r="H1680" s="81"/>
      <c r="I1680" s="167"/>
      <c r="J1680" s="168"/>
      <c r="K1680" s="167"/>
      <c r="L1680" s="168"/>
      <c r="M1680" s="169"/>
      <c r="N1680" s="169"/>
      <c r="O1680" s="169"/>
      <c r="P1680" s="93"/>
    </row>
    <row r="1681" spans="2:16" s="146" customFormat="1" ht="18" hidden="1" customHeight="1" x14ac:dyDescent="0.25">
      <c r="C1681" s="202"/>
      <c r="D1681" s="81"/>
      <c r="E1681" s="81"/>
      <c r="F1681" s="81"/>
      <c r="G1681" s="81"/>
      <c r="H1681" s="81"/>
      <c r="I1681" s="167"/>
      <c r="J1681" s="168"/>
      <c r="K1681" s="167"/>
      <c r="L1681" s="168"/>
      <c r="M1681" s="169"/>
      <c r="N1681" s="169"/>
      <c r="O1681" s="169"/>
      <c r="P1681" s="93"/>
    </row>
    <row r="1682" spans="2:16" s="146" customFormat="1" ht="18" hidden="1" customHeight="1" x14ac:dyDescent="0.25">
      <c r="C1682" s="202"/>
      <c r="D1682" s="81"/>
      <c r="E1682" s="81"/>
      <c r="F1682" s="81"/>
      <c r="G1682" s="81"/>
      <c r="H1682" s="81"/>
      <c r="I1682" s="167"/>
      <c r="J1682" s="168"/>
      <c r="K1682" s="167"/>
      <c r="L1682" s="168"/>
      <c r="M1682" s="169"/>
      <c r="N1682" s="169"/>
      <c r="O1682" s="169"/>
      <c r="P1682" s="93"/>
    </row>
    <row r="1683" spans="2:16" s="146" customFormat="1" ht="18" hidden="1" customHeight="1" x14ac:dyDescent="0.25">
      <c r="C1683" s="80"/>
      <c r="D1683" s="81"/>
      <c r="E1683" s="330"/>
      <c r="F1683" s="330"/>
      <c r="G1683" s="330"/>
      <c r="H1683" s="330"/>
      <c r="I1683" s="330"/>
      <c r="J1683" s="330"/>
      <c r="K1683" s="330"/>
      <c r="L1683" s="330"/>
      <c r="M1683" s="330"/>
      <c r="N1683" s="330"/>
      <c r="O1683" s="94"/>
      <c r="P1683" s="93"/>
    </row>
    <row r="1684" spans="2:16" s="146" customFormat="1" ht="18" hidden="1" customHeight="1" x14ac:dyDescent="0.25">
      <c r="C1684" s="80"/>
      <c r="D1684" s="180"/>
      <c r="E1684" s="180"/>
      <c r="F1684" s="180"/>
      <c r="G1684" s="180"/>
      <c r="H1684" s="180"/>
      <c r="I1684" s="180"/>
      <c r="J1684" s="180"/>
      <c r="K1684" s="180"/>
      <c r="L1684" s="328"/>
      <c r="M1684" s="181"/>
      <c r="N1684" s="182"/>
      <c r="O1684" s="95"/>
      <c r="P1684" s="93"/>
    </row>
    <row r="1685" spans="2:16" s="146" customFormat="1" ht="18" hidden="1" customHeight="1" x14ac:dyDescent="0.25">
      <c r="C1685" s="80"/>
      <c r="D1685" s="331"/>
      <c r="E1685" s="331"/>
      <c r="F1685" s="331"/>
      <c r="G1685" s="331"/>
      <c r="H1685" s="331"/>
      <c r="I1685" s="331"/>
      <c r="J1685" s="331"/>
      <c r="K1685" s="331"/>
      <c r="L1685" s="328"/>
      <c r="M1685" s="332"/>
      <c r="N1685" s="328"/>
      <c r="O1685" s="95"/>
      <c r="P1685" s="93"/>
    </row>
    <row r="1686" spans="2:16" s="146" customFormat="1" ht="18" hidden="1" customHeight="1" x14ac:dyDescent="0.25">
      <c r="C1686" s="80"/>
      <c r="D1686" s="331"/>
      <c r="E1686" s="331"/>
      <c r="F1686" s="331"/>
      <c r="G1686" s="331"/>
      <c r="H1686" s="331"/>
      <c r="I1686" s="331"/>
      <c r="J1686" s="331"/>
      <c r="K1686" s="331"/>
      <c r="L1686" s="328"/>
      <c r="M1686" s="332"/>
      <c r="N1686" s="328"/>
      <c r="O1686" s="95"/>
      <c r="P1686" s="93"/>
    </row>
    <row r="1687" spans="2:16" s="146" customFormat="1" ht="18" hidden="1" customHeight="1" x14ac:dyDescent="0.25">
      <c r="C1687" s="80"/>
      <c r="D1687" s="331"/>
      <c r="E1687" s="331"/>
      <c r="F1687" s="331"/>
      <c r="G1687" s="331"/>
      <c r="H1687" s="331"/>
      <c r="I1687" s="331"/>
      <c r="J1687" s="331"/>
      <c r="K1687" s="331"/>
      <c r="L1687" s="328"/>
      <c r="M1687" s="332"/>
      <c r="N1687" s="328"/>
      <c r="O1687" s="95"/>
      <c r="P1687" s="93"/>
    </row>
    <row r="1688" spans="2:16" s="146" customFormat="1" ht="9.9499999999999993" hidden="1" customHeight="1" thickBot="1" x14ac:dyDescent="0.3">
      <c r="C1688" s="80"/>
      <c r="D1688" s="81"/>
      <c r="E1688" s="81"/>
      <c r="F1688" s="81"/>
      <c r="G1688" s="81"/>
      <c r="H1688" s="81"/>
      <c r="I1688" s="81"/>
      <c r="J1688" s="81"/>
      <c r="K1688" s="81"/>
      <c r="L1688" s="81"/>
      <c r="M1688" s="81"/>
      <c r="N1688" s="81"/>
      <c r="O1688" s="96"/>
      <c r="P1688" s="97"/>
    </row>
    <row r="1689" spans="2:16" s="146" customFormat="1" ht="18" hidden="1" customHeight="1" x14ac:dyDescent="0.25">
      <c r="B1689" s="31" t="s">
        <v>34</v>
      </c>
      <c r="C1689" s="29"/>
      <c r="E1689" s="30"/>
      <c r="F1689" s="30"/>
      <c r="G1689" s="1041" t="s">
        <v>343</v>
      </c>
      <c r="H1689" s="1042"/>
      <c r="I1689" s="1042"/>
      <c r="J1689" s="1043"/>
      <c r="K1689" s="1085">
        <v>0</v>
      </c>
      <c r="L1689" s="1086"/>
      <c r="M1689" s="18"/>
      <c r="N1689" s="18"/>
      <c r="O1689" s="98"/>
      <c r="P1689" s="99"/>
    </row>
    <row r="1690" spans="2:16" s="146" customFormat="1" ht="18" hidden="1" customHeight="1" x14ac:dyDescent="0.25">
      <c r="B1690" s="31" t="str">
        <f>C1674</f>
        <v>7.3</v>
      </c>
      <c r="C1690" s="29"/>
      <c r="E1690" s="30"/>
      <c r="F1690" s="30"/>
      <c r="G1690" s="1082" t="s">
        <v>344</v>
      </c>
      <c r="H1690" s="1083"/>
      <c r="I1690" s="1083"/>
      <c r="J1690" s="1084"/>
      <c r="K1690" s="1075">
        <f>K1689+O1674</f>
        <v>0</v>
      </c>
      <c r="L1690" s="1076"/>
      <c r="M1690" s="18"/>
      <c r="N1690" s="18"/>
      <c r="O1690" s="98"/>
      <c r="P1690" s="99"/>
    </row>
    <row r="1691" spans="2:16" s="146" customFormat="1" ht="18" hidden="1" customHeight="1" x14ac:dyDescent="0.25">
      <c r="C1691" s="29"/>
      <c r="D1691" s="30"/>
      <c r="E1691" s="30"/>
      <c r="F1691" s="30"/>
      <c r="G1691" s="1082" t="s">
        <v>345</v>
      </c>
      <c r="H1691" s="1083"/>
      <c r="I1691" s="1083"/>
      <c r="J1691" s="1084"/>
      <c r="K1691" s="1075">
        <f>'BM DETALHADO'!E114</f>
        <v>284.62</v>
      </c>
      <c r="L1691" s="1076"/>
      <c r="M1691" s="18"/>
      <c r="N1691" s="18"/>
      <c r="O1691" s="98"/>
      <c r="P1691" s="99"/>
    </row>
    <row r="1692" spans="2:16" s="146" customFormat="1" ht="18" hidden="1" customHeight="1" thickBot="1" x14ac:dyDescent="0.3">
      <c r="C1692" s="29"/>
      <c r="D1692" s="30"/>
      <c r="E1692" s="30"/>
      <c r="F1692" s="30"/>
      <c r="G1692" s="1077" t="s">
        <v>346</v>
      </c>
      <c r="H1692" s="1078"/>
      <c r="I1692" s="1078"/>
      <c r="J1692" s="1079"/>
      <c r="K1692" s="1068">
        <f>K1691-K1690</f>
        <v>284.62</v>
      </c>
      <c r="L1692" s="1069"/>
      <c r="M1692" s="18"/>
      <c r="N1692" s="18"/>
      <c r="O1692" s="98"/>
      <c r="P1692" s="99"/>
    </row>
    <row r="1693" spans="2:16" s="146" customFormat="1" ht="9.9499999999999993" hidden="1" customHeight="1" thickBot="1" x14ac:dyDescent="0.3">
      <c r="C1693" s="21"/>
      <c r="D1693" s="22"/>
      <c r="E1693" s="22"/>
      <c r="F1693" s="22"/>
      <c r="G1693" s="360"/>
      <c r="H1693" s="360"/>
      <c r="I1693" s="360"/>
      <c r="J1693" s="360"/>
      <c r="K1693" s="361"/>
      <c r="L1693" s="361"/>
      <c r="M1693" s="22"/>
      <c r="N1693" s="22"/>
      <c r="O1693" s="100"/>
      <c r="P1693" s="101"/>
    </row>
    <row r="1694" spans="2:16" s="146" customFormat="1" ht="18" hidden="1" customHeight="1" x14ac:dyDescent="0.25">
      <c r="C1694" s="20" t="s">
        <v>34</v>
      </c>
      <c r="D1694" s="1052" t="s">
        <v>35</v>
      </c>
      <c r="E1694" s="1053"/>
      <c r="F1694" s="1053"/>
      <c r="G1694" s="1053"/>
      <c r="H1694" s="1053"/>
      <c r="I1694" s="1053"/>
      <c r="J1694" s="1053"/>
      <c r="K1694" s="1053"/>
      <c r="L1694" s="1053"/>
      <c r="M1694" s="1054"/>
      <c r="N1694" s="145" t="s">
        <v>0</v>
      </c>
      <c r="O1694" s="1107" t="s">
        <v>4</v>
      </c>
      <c r="P1694" s="1108"/>
    </row>
    <row r="1695" spans="2:16" s="146" customFormat="1" ht="69.95" hidden="1" customHeight="1" thickBot="1" x14ac:dyDescent="0.3">
      <c r="C1695" s="85" t="s">
        <v>258</v>
      </c>
      <c r="D1695" s="1070" t="str">
        <f>VLOOKUP(C1695,'BM DETALHADO'!$B$13:$D$126,2,FALSE)</f>
        <v>COMPLEMENTAÇÃO COM TELHAS PRODUZIDA ARTEZANALMENTE IGUAIS AS EXISTENTES , COMPLEMENTANDO AS QUE FORAM QUEBRADAS</v>
      </c>
      <c r="E1695" s="1071"/>
      <c r="F1695" s="1071"/>
      <c r="G1695" s="1071"/>
      <c r="H1695" s="1071"/>
      <c r="I1695" s="1071"/>
      <c r="J1695" s="1071"/>
      <c r="K1695" s="1071"/>
      <c r="L1695" s="1071"/>
      <c r="M1695" s="1072"/>
      <c r="N1695" s="19" t="str">
        <f>VLOOKUP(C1695,'BM DETALHADO'!$B$13:$D$126,3,FALSE)</f>
        <v>M2</v>
      </c>
      <c r="O1695" s="1109"/>
      <c r="P1695" s="1110"/>
    </row>
    <row r="1696" spans="2:16" s="146" customFormat="1" ht="9.9499999999999993" hidden="1" customHeight="1" x14ac:dyDescent="0.25">
      <c r="C1696" s="77"/>
      <c r="D1696" s="78"/>
      <c r="E1696" s="79"/>
      <c r="F1696" s="79"/>
      <c r="G1696" s="79"/>
      <c r="H1696" s="79"/>
      <c r="I1696" s="79"/>
      <c r="J1696" s="79"/>
      <c r="K1696" s="79"/>
      <c r="L1696" s="79"/>
      <c r="M1696" s="79"/>
      <c r="N1696" s="79"/>
      <c r="O1696" s="91"/>
      <c r="P1696" s="92"/>
    </row>
    <row r="1697" spans="2:16" s="146" customFormat="1" ht="18" hidden="1" customHeight="1" x14ac:dyDescent="0.25">
      <c r="C1697" s="336"/>
      <c r="D1697" s="81"/>
      <c r="E1697" s="81"/>
      <c r="F1697" s="81"/>
      <c r="G1697" s="81"/>
      <c r="H1697" s="330"/>
      <c r="I1697" s="344"/>
      <c r="J1697" s="339"/>
      <c r="K1697" s="344"/>
      <c r="L1697" s="339"/>
      <c r="M1697" s="169"/>
      <c r="N1697" s="169"/>
      <c r="O1697" s="343"/>
      <c r="P1697" s="93"/>
    </row>
    <row r="1698" spans="2:16" s="146" customFormat="1" ht="18" hidden="1" customHeight="1" x14ac:dyDescent="0.25">
      <c r="C1698" s="336"/>
      <c r="D1698" s="333"/>
      <c r="E1698" s="333"/>
      <c r="F1698" s="333"/>
      <c r="G1698" s="333"/>
      <c r="H1698" s="330"/>
      <c r="I1698" s="330"/>
      <c r="J1698" s="330"/>
      <c r="K1698" s="330"/>
      <c r="L1698" s="330"/>
      <c r="M1698" s="330"/>
      <c r="N1698" s="330"/>
      <c r="O1698" s="94"/>
      <c r="P1698" s="93"/>
    </row>
    <row r="1699" spans="2:16" s="146" customFormat="1" ht="18" hidden="1" customHeight="1" x14ac:dyDescent="0.25">
      <c r="C1699" s="202"/>
      <c r="D1699" s="81"/>
      <c r="E1699" s="81"/>
      <c r="F1699" s="81"/>
      <c r="G1699" s="81"/>
      <c r="H1699" s="81"/>
      <c r="I1699" s="167"/>
      <c r="J1699" s="168"/>
      <c r="K1699" s="167"/>
      <c r="L1699" s="168"/>
      <c r="M1699" s="169"/>
      <c r="N1699" s="169"/>
      <c r="O1699" s="169"/>
      <c r="P1699" s="93"/>
    </row>
    <row r="1700" spans="2:16" s="146" customFormat="1" ht="18" hidden="1" customHeight="1" x14ac:dyDescent="0.25">
      <c r="C1700" s="202"/>
      <c r="D1700" s="81"/>
      <c r="E1700" s="81"/>
      <c r="F1700" s="81"/>
      <c r="G1700" s="81"/>
      <c r="H1700" s="81"/>
      <c r="I1700" s="167"/>
      <c r="J1700" s="168"/>
      <c r="K1700" s="167"/>
      <c r="L1700" s="168"/>
      <c r="M1700" s="169"/>
      <c r="N1700" s="169"/>
      <c r="O1700" s="169"/>
      <c r="P1700" s="93"/>
    </row>
    <row r="1701" spans="2:16" s="146" customFormat="1" ht="18" hidden="1" customHeight="1" x14ac:dyDescent="0.25">
      <c r="C1701" s="202"/>
      <c r="D1701" s="81"/>
      <c r="E1701" s="81"/>
      <c r="F1701" s="81"/>
      <c r="G1701" s="81"/>
      <c r="H1701" s="81"/>
      <c r="I1701" s="167"/>
      <c r="J1701" s="168"/>
      <c r="K1701" s="167"/>
      <c r="L1701" s="168"/>
      <c r="M1701" s="169"/>
      <c r="N1701" s="169"/>
      <c r="O1701" s="169"/>
      <c r="P1701" s="93"/>
    </row>
    <row r="1702" spans="2:16" s="146" customFormat="1" ht="18" hidden="1" customHeight="1" x14ac:dyDescent="0.25">
      <c r="C1702" s="202"/>
      <c r="D1702" s="81"/>
      <c r="E1702" s="81"/>
      <c r="F1702" s="81"/>
      <c r="G1702" s="81"/>
      <c r="H1702" s="81"/>
      <c r="I1702" s="167"/>
      <c r="J1702" s="168"/>
      <c r="K1702" s="167"/>
      <c r="L1702" s="168"/>
      <c r="M1702" s="169"/>
      <c r="N1702" s="169"/>
      <c r="O1702" s="169"/>
      <c r="P1702" s="93"/>
    </row>
    <row r="1703" spans="2:16" s="146" customFormat="1" ht="18" hidden="1" customHeight="1" x14ac:dyDescent="0.25">
      <c r="C1703" s="202"/>
      <c r="D1703" s="81"/>
      <c r="E1703" s="81"/>
      <c r="F1703" s="81"/>
      <c r="G1703" s="81"/>
      <c r="H1703" s="81"/>
      <c r="I1703" s="167"/>
      <c r="J1703" s="168"/>
      <c r="K1703" s="167"/>
      <c r="L1703" s="168"/>
      <c r="M1703" s="169"/>
      <c r="N1703" s="169"/>
      <c r="O1703" s="169"/>
      <c r="P1703" s="93"/>
    </row>
    <row r="1704" spans="2:16" s="146" customFormat="1" ht="18" hidden="1" customHeight="1" x14ac:dyDescent="0.25">
      <c r="C1704" s="80"/>
      <c r="D1704" s="81"/>
      <c r="E1704" s="330"/>
      <c r="F1704" s="330"/>
      <c r="G1704" s="330"/>
      <c r="H1704" s="330"/>
      <c r="I1704" s="330"/>
      <c r="J1704" s="330"/>
      <c r="K1704" s="330"/>
      <c r="L1704" s="330"/>
      <c r="M1704" s="330"/>
      <c r="N1704" s="330"/>
      <c r="O1704" s="94"/>
      <c r="P1704" s="93"/>
    </row>
    <row r="1705" spans="2:16" s="146" customFormat="1" ht="18" hidden="1" customHeight="1" x14ac:dyDescent="0.25">
      <c r="C1705" s="80"/>
      <c r="D1705" s="180"/>
      <c r="E1705" s="180"/>
      <c r="F1705" s="180"/>
      <c r="G1705" s="180"/>
      <c r="H1705" s="180"/>
      <c r="I1705" s="180"/>
      <c r="J1705" s="180"/>
      <c r="K1705" s="180"/>
      <c r="L1705" s="328"/>
      <c r="M1705" s="181"/>
      <c r="N1705" s="182"/>
      <c r="O1705" s="95"/>
      <c r="P1705" s="93"/>
    </row>
    <row r="1706" spans="2:16" s="146" customFormat="1" ht="18" hidden="1" customHeight="1" x14ac:dyDescent="0.25">
      <c r="C1706" s="80"/>
      <c r="D1706" s="331"/>
      <c r="E1706" s="331"/>
      <c r="F1706" s="331"/>
      <c r="G1706" s="331"/>
      <c r="H1706" s="331"/>
      <c r="I1706" s="331"/>
      <c r="J1706" s="331"/>
      <c r="K1706" s="331"/>
      <c r="L1706" s="328"/>
      <c r="M1706" s="332"/>
      <c r="N1706" s="328"/>
      <c r="O1706" s="95"/>
      <c r="P1706" s="93"/>
    </row>
    <row r="1707" spans="2:16" s="146" customFormat="1" ht="18" hidden="1" customHeight="1" x14ac:dyDescent="0.25">
      <c r="C1707" s="80"/>
      <c r="D1707" s="331"/>
      <c r="E1707" s="331"/>
      <c r="F1707" s="331"/>
      <c r="G1707" s="331"/>
      <c r="H1707" s="331"/>
      <c r="I1707" s="331"/>
      <c r="J1707" s="331"/>
      <c r="K1707" s="331"/>
      <c r="L1707" s="328"/>
      <c r="M1707" s="332"/>
      <c r="N1707" s="328"/>
      <c r="O1707" s="95"/>
      <c r="P1707" s="93"/>
    </row>
    <row r="1708" spans="2:16" s="146" customFormat="1" ht="18" hidden="1" customHeight="1" x14ac:dyDescent="0.25">
      <c r="C1708" s="80"/>
      <c r="D1708" s="331"/>
      <c r="E1708" s="331"/>
      <c r="F1708" s="331"/>
      <c r="G1708" s="331"/>
      <c r="H1708" s="331"/>
      <c r="I1708" s="331"/>
      <c r="J1708" s="331"/>
      <c r="K1708" s="331"/>
      <c r="L1708" s="328"/>
      <c r="M1708" s="332"/>
      <c r="N1708" s="328"/>
      <c r="O1708" s="95"/>
      <c r="P1708" s="93"/>
    </row>
    <row r="1709" spans="2:16" s="146" customFormat="1" ht="9.9499999999999993" hidden="1" customHeight="1" thickBot="1" x14ac:dyDescent="0.3">
      <c r="C1709" s="80"/>
      <c r="D1709" s="81"/>
      <c r="E1709" s="81"/>
      <c r="F1709" s="81"/>
      <c r="G1709" s="81"/>
      <c r="H1709" s="81"/>
      <c r="I1709" s="81"/>
      <c r="J1709" s="81"/>
      <c r="K1709" s="81"/>
      <c r="L1709" s="81"/>
      <c r="M1709" s="81"/>
      <c r="N1709" s="81"/>
      <c r="O1709" s="96"/>
      <c r="P1709" s="97"/>
    </row>
    <row r="1710" spans="2:16" s="146" customFormat="1" ht="18" hidden="1" customHeight="1" x14ac:dyDescent="0.25">
      <c r="B1710" s="31" t="s">
        <v>34</v>
      </c>
      <c r="C1710" s="29"/>
      <c r="E1710" s="30"/>
      <c r="F1710" s="30"/>
      <c r="G1710" s="1041" t="s">
        <v>343</v>
      </c>
      <c r="H1710" s="1042"/>
      <c r="I1710" s="1042"/>
      <c r="J1710" s="1043"/>
      <c r="K1710" s="1085">
        <v>0</v>
      </c>
      <c r="L1710" s="1086"/>
      <c r="M1710" s="18"/>
      <c r="N1710" s="18"/>
      <c r="O1710" s="98"/>
      <c r="P1710" s="99"/>
    </row>
    <row r="1711" spans="2:16" s="146" customFormat="1" ht="18" hidden="1" customHeight="1" x14ac:dyDescent="0.25">
      <c r="B1711" s="31" t="str">
        <f>C1695</f>
        <v>7.4</v>
      </c>
      <c r="C1711" s="29"/>
      <c r="E1711" s="30"/>
      <c r="F1711" s="30"/>
      <c r="G1711" s="1082" t="s">
        <v>344</v>
      </c>
      <c r="H1711" s="1083"/>
      <c r="I1711" s="1083"/>
      <c r="J1711" s="1084"/>
      <c r="K1711" s="1075">
        <f>K1710+O1695</f>
        <v>0</v>
      </c>
      <c r="L1711" s="1076"/>
      <c r="M1711" s="18"/>
      <c r="N1711" s="18"/>
      <c r="O1711" s="98"/>
      <c r="P1711" s="99"/>
    </row>
    <row r="1712" spans="2:16" s="146" customFormat="1" ht="18" hidden="1" customHeight="1" x14ac:dyDescent="0.25">
      <c r="C1712" s="29"/>
      <c r="D1712" s="30"/>
      <c r="E1712" s="30"/>
      <c r="F1712" s="30"/>
      <c r="G1712" s="1082" t="s">
        <v>345</v>
      </c>
      <c r="H1712" s="1083"/>
      <c r="I1712" s="1083"/>
      <c r="J1712" s="1084"/>
      <c r="K1712" s="1075">
        <f>'BM DETALHADO'!E115</f>
        <v>284.62</v>
      </c>
      <c r="L1712" s="1076"/>
      <c r="M1712" s="18"/>
      <c r="N1712" s="18"/>
      <c r="O1712" s="98"/>
      <c r="P1712" s="99"/>
    </row>
    <row r="1713" spans="3:16" s="146" customFormat="1" ht="18" hidden="1" customHeight="1" thickBot="1" x14ac:dyDescent="0.3">
      <c r="C1713" s="29"/>
      <c r="D1713" s="30"/>
      <c r="E1713" s="30"/>
      <c r="F1713" s="30"/>
      <c r="G1713" s="1077" t="s">
        <v>346</v>
      </c>
      <c r="H1713" s="1078"/>
      <c r="I1713" s="1078"/>
      <c r="J1713" s="1079"/>
      <c r="K1713" s="1068">
        <f>K1712-K1711</f>
        <v>284.62</v>
      </c>
      <c r="L1713" s="1069"/>
      <c r="M1713" s="18"/>
      <c r="N1713" s="18"/>
      <c r="O1713" s="98"/>
      <c r="P1713" s="99"/>
    </row>
    <row r="1714" spans="3:16" s="146" customFormat="1" ht="9.9499999999999993" hidden="1" customHeight="1" thickBot="1" x14ac:dyDescent="0.3">
      <c r="C1714" s="21"/>
      <c r="D1714" s="22"/>
      <c r="E1714" s="22"/>
      <c r="F1714" s="22"/>
      <c r="G1714" s="27"/>
      <c r="H1714" s="27"/>
      <c r="I1714" s="27"/>
      <c r="J1714" s="27"/>
      <c r="K1714" s="28"/>
      <c r="L1714" s="28"/>
      <c r="M1714" s="22"/>
      <c r="N1714" s="22"/>
      <c r="O1714" s="100"/>
      <c r="P1714" s="101"/>
    </row>
    <row r="1715" spans="3:16" s="146" customFormat="1" ht="18" hidden="1" customHeight="1" x14ac:dyDescent="0.25">
      <c r="C1715" s="20" t="s">
        <v>34</v>
      </c>
      <c r="D1715" s="1052" t="s">
        <v>35</v>
      </c>
      <c r="E1715" s="1053"/>
      <c r="F1715" s="1053"/>
      <c r="G1715" s="1053"/>
      <c r="H1715" s="1053"/>
      <c r="I1715" s="1053"/>
      <c r="J1715" s="1053"/>
      <c r="K1715" s="1053"/>
      <c r="L1715" s="1053"/>
      <c r="M1715" s="1054"/>
      <c r="N1715" s="145" t="s">
        <v>0</v>
      </c>
      <c r="O1715" s="1107" t="s">
        <v>4</v>
      </c>
      <c r="P1715" s="1108"/>
    </row>
    <row r="1716" spans="3:16" s="146" customFormat="1" ht="69.95" hidden="1" customHeight="1" thickBot="1" x14ac:dyDescent="0.3">
      <c r="C1716" s="85" t="s">
        <v>260</v>
      </c>
      <c r="D1716" s="1070" t="str">
        <f>VLOOKUP(C1716,'BM DETALHADO'!$B$13:$D$126,2,FALSE)</f>
        <v>TROCA DE CALHAS E RUFOS NÃO SERVÍVEIS ( RISCO DE VAZAMENTOS FUTUROS)</v>
      </c>
      <c r="E1716" s="1071"/>
      <c r="F1716" s="1071"/>
      <c r="G1716" s="1071"/>
      <c r="H1716" s="1071"/>
      <c r="I1716" s="1071"/>
      <c r="J1716" s="1071"/>
      <c r="K1716" s="1071"/>
      <c r="L1716" s="1071"/>
      <c r="M1716" s="1072"/>
      <c r="N1716" s="19" t="str">
        <f>VLOOKUP(C1716,'BM DETALHADO'!$B$13:$D$126,3,FALSE)</f>
        <v>M</v>
      </c>
      <c r="O1716" s="1109"/>
      <c r="P1716" s="1110"/>
    </row>
    <row r="1717" spans="3:16" s="146" customFormat="1" ht="9.9499999999999993" hidden="1" customHeight="1" x14ac:dyDescent="0.25">
      <c r="C1717" s="77"/>
      <c r="D1717" s="78"/>
      <c r="E1717" s="79"/>
      <c r="F1717" s="79"/>
      <c r="G1717" s="79"/>
      <c r="H1717" s="79"/>
      <c r="I1717" s="79"/>
      <c r="J1717" s="79"/>
      <c r="K1717" s="79"/>
      <c r="L1717" s="79"/>
      <c r="M1717" s="79"/>
      <c r="N1717" s="79"/>
      <c r="O1717" s="91"/>
      <c r="P1717" s="92"/>
    </row>
    <row r="1718" spans="3:16" s="146" customFormat="1" ht="18" hidden="1" customHeight="1" x14ac:dyDescent="0.25">
      <c r="C1718" s="336"/>
      <c r="D1718" s="81"/>
      <c r="E1718" s="81"/>
      <c r="F1718" s="81"/>
      <c r="G1718" s="81"/>
      <c r="H1718" s="330"/>
      <c r="I1718" s="344"/>
      <c r="J1718" s="339"/>
      <c r="K1718" s="344"/>
      <c r="L1718" s="339"/>
      <c r="M1718" s="169"/>
      <c r="N1718" s="169"/>
      <c r="O1718" s="343"/>
      <c r="P1718" s="93"/>
    </row>
    <row r="1719" spans="3:16" s="146" customFormat="1" ht="18" hidden="1" customHeight="1" x14ac:dyDescent="0.25">
      <c r="C1719" s="336"/>
      <c r="D1719" s="333"/>
      <c r="E1719" s="333"/>
      <c r="F1719" s="333"/>
      <c r="G1719" s="333"/>
      <c r="H1719" s="330"/>
      <c r="I1719" s="330"/>
      <c r="J1719" s="330"/>
      <c r="K1719" s="330"/>
      <c r="L1719" s="330"/>
      <c r="M1719" s="330"/>
      <c r="N1719" s="330"/>
      <c r="O1719" s="94"/>
      <c r="P1719" s="93"/>
    </row>
    <row r="1720" spans="3:16" s="146" customFormat="1" ht="18" hidden="1" customHeight="1" x14ac:dyDescent="0.25">
      <c r="C1720" s="202"/>
      <c r="D1720" s="81"/>
      <c r="E1720" s="81"/>
      <c r="F1720" s="81"/>
      <c r="G1720" s="81"/>
      <c r="H1720" s="81"/>
      <c r="I1720" s="167"/>
      <c r="J1720" s="168"/>
      <c r="K1720" s="167"/>
      <c r="L1720" s="168"/>
      <c r="M1720" s="169"/>
      <c r="N1720" s="169"/>
      <c r="O1720" s="169"/>
      <c r="P1720" s="93"/>
    </row>
    <row r="1721" spans="3:16" s="146" customFormat="1" ht="18" hidden="1" customHeight="1" x14ac:dyDescent="0.25">
      <c r="C1721" s="202"/>
      <c r="D1721" s="81"/>
      <c r="E1721" s="81"/>
      <c r="F1721" s="81"/>
      <c r="G1721" s="81"/>
      <c r="H1721" s="81"/>
      <c r="I1721" s="167"/>
      <c r="J1721" s="168"/>
      <c r="K1721" s="167"/>
      <c r="L1721" s="168"/>
      <c r="M1721" s="169"/>
      <c r="N1721" s="169"/>
      <c r="O1721" s="169"/>
      <c r="P1721" s="93"/>
    </row>
    <row r="1722" spans="3:16" s="146" customFormat="1" ht="18" hidden="1" customHeight="1" x14ac:dyDescent="0.25">
      <c r="C1722" s="202"/>
      <c r="D1722" s="81"/>
      <c r="E1722" s="81"/>
      <c r="F1722" s="81"/>
      <c r="G1722" s="81"/>
      <c r="H1722" s="81"/>
      <c r="I1722" s="167"/>
      <c r="J1722" s="168"/>
      <c r="K1722" s="167"/>
      <c r="L1722" s="168"/>
      <c r="M1722" s="169"/>
      <c r="N1722" s="169"/>
      <c r="O1722" s="169"/>
      <c r="P1722" s="93"/>
    </row>
    <row r="1723" spans="3:16" s="146" customFormat="1" ht="18" hidden="1" customHeight="1" x14ac:dyDescent="0.25">
      <c r="C1723" s="202"/>
      <c r="D1723" s="81"/>
      <c r="E1723" s="81"/>
      <c r="F1723" s="81"/>
      <c r="G1723" s="81"/>
      <c r="H1723" s="81"/>
      <c r="I1723" s="167"/>
      <c r="J1723" s="168"/>
      <c r="K1723" s="167"/>
      <c r="L1723" s="168"/>
      <c r="M1723" s="169"/>
      <c r="N1723" s="169"/>
      <c r="O1723" s="169"/>
      <c r="P1723" s="93"/>
    </row>
    <row r="1724" spans="3:16" s="146" customFormat="1" ht="18" hidden="1" customHeight="1" x14ac:dyDescent="0.25">
      <c r="C1724" s="202"/>
      <c r="D1724" s="81"/>
      <c r="E1724" s="81"/>
      <c r="F1724" s="81"/>
      <c r="G1724" s="81"/>
      <c r="H1724" s="81"/>
      <c r="I1724" s="167"/>
      <c r="J1724" s="168"/>
      <c r="K1724" s="167"/>
      <c r="L1724" s="168"/>
      <c r="M1724" s="169"/>
      <c r="N1724" s="169"/>
      <c r="O1724" s="169"/>
      <c r="P1724" s="93"/>
    </row>
    <row r="1725" spans="3:16" s="146" customFormat="1" ht="18" hidden="1" customHeight="1" x14ac:dyDescent="0.25">
      <c r="C1725" s="80"/>
      <c r="D1725" s="81"/>
      <c r="E1725" s="330"/>
      <c r="F1725" s="330"/>
      <c r="G1725" s="330"/>
      <c r="H1725" s="330"/>
      <c r="I1725" s="330"/>
      <c r="J1725" s="330"/>
      <c r="K1725" s="330"/>
      <c r="L1725" s="330"/>
      <c r="M1725" s="330"/>
      <c r="N1725" s="330"/>
      <c r="O1725" s="94"/>
      <c r="P1725" s="93"/>
    </row>
    <row r="1726" spans="3:16" s="146" customFormat="1" ht="18" hidden="1" customHeight="1" x14ac:dyDescent="0.25">
      <c r="C1726" s="80"/>
      <c r="D1726" s="180"/>
      <c r="E1726" s="180"/>
      <c r="F1726" s="180"/>
      <c r="G1726" s="180"/>
      <c r="H1726" s="180"/>
      <c r="I1726" s="180"/>
      <c r="J1726" s="180"/>
      <c r="K1726" s="180"/>
      <c r="L1726" s="328"/>
      <c r="M1726" s="181"/>
      <c r="N1726" s="182"/>
      <c r="O1726" s="95"/>
      <c r="P1726" s="93"/>
    </row>
    <row r="1727" spans="3:16" s="146" customFormat="1" ht="18" hidden="1" customHeight="1" x14ac:dyDescent="0.25">
      <c r="C1727" s="80"/>
      <c r="D1727" s="331"/>
      <c r="E1727" s="331"/>
      <c r="F1727" s="331"/>
      <c r="G1727" s="331"/>
      <c r="H1727" s="331"/>
      <c r="I1727" s="331"/>
      <c r="J1727" s="331"/>
      <c r="K1727" s="331"/>
      <c r="L1727" s="328"/>
      <c r="M1727" s="332"/>
      <c r="N1727" s="328"/>
      <c r="O1727" s="95"/>
      <c r="P1727" s="93"/>
    </row>
    <row r="1728" spans="3:16" s="146" customFormat="1" ht="18" hidden="1" customHeight="1" x14ac:dyDescent="0.25">
      <c r="C1728" s="80"/>
      <c r="D1728" s="331"/>
      <c r="E1728" s="331"/>
      <c r="F1728" s="331"/>
      <c r="G1728" s="331"/>
      <c r="H1728" s="331"/>
      <c r="I1728" s="331"/>
      <c r="J1728" s="331"/>
      <c r="K1728" s="331"/>
      <c r="L1728" s="328"/>
      <c r="M1728" s="332"/>
      <c r="N1728" s="328"/>
      <c r="O1728" s="95"/>
      <c r="P1728" s="93"/>
    </row>
    <row r="1729" spans="2:16" s="146" customFormat="1" ht="18" hidden="1" customHeight="1" x14ac:dyDescent="0.25">
      <c r="C1729" s="80"/>
      <c r="D1729" s="331"/>
      <c r="E1729" s="331"/>
      <c r="F1729" s="331"/>
      <c r="G1729" s="331"/>
      <c r="H1729" s="331"/>
      <c r="I1729" s="331"/>
      <c r="J1729" s="331"/>
      <c r="K1729" s="331"/>
      <c r="L1729" s="328"/>
      <c r="M1729" s="332"/>
      <c r="N1729" s="328"/>
      <c r="O1729" s="95"/>
      <c r="P1729" s="93"/>
    </row>
    <row r="1730" spans="2:16" s="146" customFormat="1" ht="9.9499999999999993" hidden="1" customHeight="1" thickBot="1" x14ac:dyDescent="0.3">
      <c r="C1730" s="80"/>
      <c r="D1730" s="81"/>
      <c r="E1730" s="81"/>
      <c r="F1730" s="81"/>
      <c r="G1730" s="81"/>
      <c r="H1730" s="81"/>
      <c r="I1730" s="81"/>
      <c r="J1730" s="81"/>
      <c r="K1730" s="81"/>
      <c r="L1730" s="81"/>
      <c r="M1730" s="81"/>
      <c r="N1730" s="81"/>
      <c r="O1730" s="96"/>
      <c r="P1730" s="97"/>
    </row>
    <row r="1731" spans="2:16" s="146" customFormat="1" ht="18" hidden="1" customHeight="1" x14ac:dyDescent="0.25">
      <c r="B1731" s="31" t="s">
        <v>34</v>
      </c>
      <c r="C1731" s="29"/>
      <c r="E1731" s="30"/>
      <c r="F1731" s="30"/>
      <c r="G1731" s="1041" t="s">
        <v>343</v>
      </c>
      <c r="H1731" s="1042"/>
      <c r="I1731" s="1042"/>
      <c r="J1731" s="1043"/>
      <c r="K1731" s="1085">
        <v>0</v>
      </c>
      <c r="L1731" s="1086"/>
      <c r="M1731" s="18"/>
      <c r="N1731" s="18"/>
      <c r="O1731" s="98"/>
      <c r="P1731" s="99"/>
    </row>
    <row r="1732" spans="2:16" s="146" customFormat="1" ht="18" hidden="1" customHeight="1" x14ac:dyDescent="0.25">
      <c r="B1732" s="31" t="str">
        <f>C1716</f>
        <v>7.5</v>
      </c>
      <c r="C1732" s="29"/>
      <c r="E1732" s="30"/>
      <c r="F1732" s="30"/>
      <c r="G1732" s="1082" t="s">
        <v>344</v>
      </c>
      <c r="H1732" s="1083"/>
      <c r="I1732" s="1083"/>
      <c r="J1732" s="1084"/>
      <c r="K1732" s="1075">
        <f>K1731+O1716</f>
        <v>0</v>
      </c>
      <c r="L1732" s="1076"/>
      <c r="M1732" s="18"/>
      <c r="N1732" s="18"/>
      <c r="O1732" s="98"/>
      <c r="P1732" s="99"/>
    </row>
    <row r="1733" spans="2:16" s="146" customFormat="1" ht="18" hidden="1" customHeight="1" x14ac:dyDescent="0.25">
      <c r="C1733" s="29"/>
      <c r="D1733" s="30"/>
      <c r="E1733" s="30"/>
      <c r="F1733" s="30"/>
      <c r="G1733" s="1082" t="s">
        <v>345</v>
      </c>
      <c r="H1733" s="1083"/>
      <c r="I1733" s="1083"/>
      <c r="J1733" s="1084"/>
      <c r="K1733" s="1075">
        <f>'BM DETALHADO'!E116</f>
        <v>120</v>
      </c>
      <c r="L1733" s="1076"/>
      <c r="M1733" s="18"/>
      <c r="N1733" s="18"/>
      <c r="O1733" s="98"/>
      <c r="P1733" s="99"/>
    </row>
    <row r="1734" spans="2:16" s="146" customFormat="1" ht="18" hidden="1" customHeight="1" thickBot="1" x14ac:dyDescent="0.3">
      <c r="C1734" s="29"/>
      <c r="D1734" s="30"/>
      <c r="E1734" s="30"/>
      <c r="F1734" s="30"/>
      <c r="G1734" s="1077" t="s">
        <v>346</v>
      </c>
      <c r="H1734" s="1078"/>
      <c r="I1734" s="1078"/>
      <c r="J1734" s="1079"/>
      <c r="K1734" s="1068">
        <f>K1733-K1732</f>
        <v>120</v>
      </c>
      <c r="L1734" s="1069"/>
      <c r="M1734" s="18"/>
      <c r="N1734" s="18"/>
      <c r="O1734" s="98"/>
      <c r="P1734" s="99"/>
    </row>
    <row r="1735" spans="2:16" s="146" customFormat="1" ht="9.9499999999999993" hidden="1" customHeight="1" thickBot="1" x14ac:dyDescent="0.3">
      <c r="C1735" s="21"/>
      <c r="D1735" s="22"/>
      <c r="E1735" s="22"/>
      <c r="F1735" s="22"/>
      <c r="G1735" s="360"/>
      <c r="H1735" s="360"/>
      <c r="I1735" s="360"/>
      <c r="J1735" s="360"/>
      <c r="K1735" s="361"/>
      <c r="L1735" s="361"/>
      <c r="M1735" s="22"/>
      <c r="N1735" s="22"/>
      <c r="O1735" s="100"/>
      <c r="P1735" s="101"/>
    </row>
    <row r="1736" spans="2:16" s="146" customFormat="1" ht="18" hidden="1" customHeight="1" x14ac:dyDescent="0.25">
      <c r="C1736" s="20" t="s">
        <v>34</v>
      </c>
      <c r="D1736" s="1052" t="s">
        <v>35</v>
      </c>
      <c r="E1736" s="1053"/>
      <c r="F1736" s="1053"/>
      <c r="G1736" s="1053"/>
      <c r="H1736" s="1053"/>
      <c r="I1736" s="1053"/>
      <c r="J1736" s="1053"/>
      <c r="K1736" s="1053"/>
      <c r="L1736" s="1053"/>
      <c r="M1736" s="1054"/>
      <c r="N1736" s="145" t="s">
        <v>0</v>
      </c>
      <c r="O1736" s="1107" t="s">
        <v>4</v>
      </c>
      <c r="P1736" s="1108"/>
    </row>
    <row r="1737" spans="2:16" s="146" customFormat="1" ht="69.95" hidden="1" customHeight="1" thickBot="1" x14ac:dyDescent="0.3">
      <c r="C1737" s="85" t="s">
        <v>261</v>
      </c>
      <c r="D1737" s="1070" t="str">
        <f>VLOOKUP(C1737,'BM DETALHADO'!$B$13:$D$126,2,FALSE)</f>
        <v>AMARRAÇÃO DE TELHAS CERÂMICAS OU DE CONCRETO. AF_07/2019</v>
      </c>
      <c r="E1737" s="1071"/>
      <c r="F1737" s="1071"/>
      <c r="G1737" s="1071"/>
      <c r="H1737" s="1071"/>
      <c r="I1737" s="1071"/>
      <c r="J1737" s="1071"/>
      <c r="K1737" s="1071"/>
      <c r="L1737" s="1071"/>
      <c r="M1737" s="1072"/>
      <c r="N1737" s="19" t="str">
        <f>VLOOKUP(C1737,'BM DETALHADO'!$B$13:$D$126,3,FALSE)</f>
        <v>UN</v>
      </c>
      <c r="O1737" s="1109"/>
      <c r="P1737" s="1110"/>
    </row>
    <row r="1738" spans="2:16" s="146" customFormat="1" ht="9.9499999999999993" hidden="1" customHeight="1" x14ac:dyDescent="0.25">
      <c r="C1738" s="77"/>
      <c r="D1738" s="78"/>
      <c r="E1738" s="79"/>
      <c r="F1738" s="79"/>
      <c r="G1738" s="79"/>
      <c r="H1738" s="79"/>
      <c r="I1738" s="79"/>
      <c r="J1738" s="79"/>
      <c r="K1738" s="79"/>
      <c r="L1738" s="79"/>
      <c r="M1738" s="79"/>
      <c r="N1738" s="79"/>
      <c r="O1738" s="91"/>
      <c r="P1738" s="92"/>
    </row>
    <row r="1739" spans="2:16" s="146" customFormat="1" ht="18" hidden="1" customHeight="1" x14ac:dyDescent="0.25">
      <c r="C1739" s="336"/>
      <c r="D1739" s="81"/>
      <c r="E1739" s="81"/>
      <c r="F1739" s="81"/>
      <c r="G1739" s="81"/>
      <c r="H1739" s="330"/>
      <c r="I1739" s="344"/>
      <c r="J1739" s="339"/>
      <c r="K1739" s="344"/>
      <c r="L1739" s="339"/>
      <c r="M1739" s="169"/>
      <c r="N1739" s="169"/>
      <c r="O1739" s="343"/>
      <c r="P1739" s="93"/>
    </row>
    <row r="1740" spans="2:16" s="146" customFormat="1" ht="18" hidden="1" customHeight="1" x14ac:dyDescent="0.25">
      <c r="C1740" s="336"/>
      <c r="D1740" s="333"/>
      <c r="E1740" s="333"/>
      <c r="F1740" s="333"/>
      <c r="G1740" s="333"/>
      <c r="H1740" s="330"/>
      <c r="I1740" s="330"/>
      <c r="J1740" s="330"/>
      <c r="K1740" s="330"/>
      <c r="L1740" s="330"/>
      <c r="M1740" s="330"/>
      <c r="N1740" s="330"/>
      <c r="O1740" s="94"/>
      <c r="P1740" s="93"/>
    </row>
    <row r="1741" spans="2:16" s="146" customFormat="1" ht="18" hidden="1" customHeight="1" x14ac:dyDescent="0.25">
      <c r="C1741" s="202"/>
      <c r="D1741" s="81"/>
      <c r="E1741" s="81"/>
      <c r="F1741" s="81"/>
      <c r="G1741" s="81"/>
      <c r="H1741" s="81"/>
      <c r="I1741" s="167"/>
      <c r="J1741" s="168"/>
      <c r="K1741" s="167"/>
      <c r="L1741" s="168"/>
      <c r="M1741" s="169"/>
      <c r="N1741" s="169"/>
      <c r="O1741" s="169"/>
      <c r="P1741" s="93"/>
    </row>
    <row r="1742" spans="2:16" s="146" customFormat="1" ht="18" hidden="1" customHeight="1" x14ac:dyDescent="0.25">
      <c r="C1742" s="202"/>
      <c r="D1742" s="81"/>
      <c r="E1742" s="81"/>
      <c r="F1742" s="81"/>
      <c r="G1742" s="81"/>
      <c r="H1742" s="81"/>
      <c r="I1742" s="167"/>
      <c r="J1742" s="168"/>
      <c r="K1742" s="167"/>
      <c r="L1742" s="168"/>
      <c r="M1742" s="169"/>
      <c r="N1742" s="169"/>
      <c r="O1742" s="169"/>
      <c r="P1742" s="93"/>
    </row>
    <row r="1743" spans="2:16" s="146" customFormat="1" ht="18" hidden="1" customHeight="1" x14ac:dyDescent="0.25">
      <c r="C1743" s="202"/>
      <c r="D1743" s="81"/>
      <c r="E1743" s="81"/>
      <c r="F1743" s="81"/>
      <c r="G1743" s="81"/>
      <c r="H1743" s="81"/>
      <c r="I1743" s="167"/>
      <c r="J1743" s="168"/>
      <c r="K1743" s="167"/>
      <c r="L1743" s="168"/>
      <c r="M1743" s="169"/>
      <c r="N1743" s="169"/>
      <c r="O1743" s="169"/>
      <c r="P1743" s="93"/>
    </row>
    <row r="1744" spans="2:16" s="146" customFormat="1" ht="18" hidden="1" customHeight="1" x14ac:dyDescent="0.25">
      <c r="C1744" s="202"/>
      <c r="D1744" s="81"/>
      <c r="E1744" s="81"/>
      <c r="F1744" s="81"/>
      <c r="G1744" s="81"/>
      <c r="H1744" s="81"/>
      <c r="I1744" s="167"/>
      <c r="J1744" s="168"/>
      <c r="K1744" s="167"/>
      <c r="L1744" s="168"/>
      <c r="M1744" s="169"/>
      <c r="N1744" s="169"/>
      <c r="O1744" s="169"/>
      <c r="P1744" s="93"/>
    </row>
    <row r="1745" spans="2:16" s="146" customFormat="1" ht="18" hidden="1" customHeight="1" x14ac:dyDescent="0.25">
      <c r="C1745" s="202"/>
      <c r="D1745" s="81"/>
      <c r="E1745" s="81"/>
      <c r="F1745" s="81"/>
      <c r="G1745" s="81"/>
      <c r="H1745" s="81"/>
      <c r="I1745" s="167"/>
      <c r="J1745" s="168"/>
      <c r="K1745" s="167"/>
      <c r="L1745" s="168"/>
      <c r="M1745" s="169"/>
      <c r="N1745" s="169"/>
      <c r="O1745" s="169"/>
      <c r="P1745" s="93"/>
    </row>
    <row r="1746" spans="2:16" s="146" customFormat="1" ht="18" hidden="1" customHeight="1" x14ac:dyDescent="0.25">
      <c r="C1746" s="80"/>
      <c r="D1746" s="81"/>
      <c r="E1746" s="330"/>
      <c r="F1746" s="330"/>
      <c r="G1746" s="330"/>
      <c r="H1746" s="330"/>
      <c r="I1746" s="330"/>
      <c r="J1746" s="330"/>
      <c r="K1746" s="330"/>
      <c r="L1746" s="330"/>
      <c r="M1746" s="330"/>
      <c r="N1746" s="330"/>
      <c r="O1746" s="94"/>
      <c r="P1746" s="93"/>
    </row>
    <row r="1747" spans="2:16" s="146" customFormat="1" ht="18" hidden="1" customHeight="1" x14ac:dyDescent="0.25">
      <c r="C1747" s="80"/>
      <c r="D1747" s="180"/>
      <c r="E1747" s="180"/>
      <c r="F1747" s="180"/>
      <c r="G1747" s="180"/>
      <c r="H1747" s="180"/>
      <c r="I1747" s="180"/>
      <c r="J1747" s="180"/>
      <c r="K1747" s="180"/>
      <c r="L1747" s="328"/>
      <c r="M1747" s="181"/>
      <c r="N1747" s="182"/>
      <c r="O1747" s="95"/>
      <c r="P1747" s="93"/>
    </row>
    <row r="1748" spans="2:16" s="146" customFormat="1" ht="18" hidden="1" customHeight="1" x14ac:dyDescent="0.25">
      <c r="C1748" s="80"/>
      <c r="D1748" s="331"/>
      <c r="E1748" s="331"/>
      <c r="F1748" s="331"/>
      <c r="G1748" s="331"/>
      <c r="H1748" s="331"/>
      <c r="I1748" s="331"/>
      <c r="J1748" s="331"/>
      <c r="K1748" s="331"/>
      <c r="L1748" s="328"/>
      <c r="M1748" s="332"/>
      <c r="N1748" s="328"/>
      <c r="O1748" s="95"/>
      <c r="P1748" s="93"/>
    </row>
    <row r="1749" spans="2:16" s="146" customFormat="1" ht="18" hidden="1" customHeight="1" x14ac:dyDescent="0.25">
      <c r="C1749" s="80"/>
      <c r="D1749" s="331"/>
      <c r="E1749" s="331"/>
      <c r="F1749" s="331"/>
      <c r="G1749" s="331"/>
      <c r="H1749" s="331"/>
      <c r="I1749" s="331"/>
      <c r="J1749" s="331"/>
      <c r="K1749" s="331"/>
      <c r="L1749" s="328"/>
      <c r="M1749" s="332"/>
      <c r="N1749" s="328"/>
      <c r="O1749" s="95"/>
      <c r="P1749" s="93"/>
    </row>
    <row r="1750" spans="2:16" s="146" customFormat="1" ht="18" hidden="1" customHeight="1" x14ac:dyDescent="0.25">
      <c r="C1750" s="80"/>
      <c r="D1750" s="331"/>
      <c r="E1750" s="331"/>
      <c r="F1750" s="331"/>
      <c r="G1750" s="331"/>
      <c r="H1750" s="331"/>
      <c r="I1750" s="331"/>
      <c r="J1750" s="331"/>
      <c r="K1750" s="331"/>
      <c r="L1750" s="328"/>
      <c r="M1750" s="332"/>
      <c r="N1750" s="328"/>
      <c r="O1750" s="95"/>
      <c r="P1750" s="93"/>
    </row>
    <row r="1751" spans="2:16" s="146" customFormat="1" ht="9.9499999999999993" hidden="1" customHeight="1" thickBot="1" x14ac:dyDescent="0.3">
      <c r="C1751" s="80"/>
      <c r="D1751" s="81"/>
      <c r="E1751" s="81"/>
      <c r="F1751" s="81"/>
      <c r="G1751" s="81"/>
      <c r="H1751" s="81"/>
      <c r="I1751" s="81"/>
      <c r="J1751" s="81"/>
      <c r="K1751" s="81"/>
      <c r="L1751" s="81"/>
      <c r="M1751" s="81"/>
      <c r="N1751" s="81"/>
      <c r="O1751" s="96"/>
      <c r="P1751" s="97"/>
    </row>
    <row r="1752" spans="2:16" s="146" customFormat="1" ht="18" hidden="1" customHeight="1" x14ac:dyDescent="0.25">
      <c r="B1752" s="31" t="s">
        <v>34</v>
      </c>
      <c r="C1752" s="29"/>
      <c r="E1752" s="30"/>
      <c r="F1752" s="30"/>
      <c r="G1752" s="1041" t="s">
        <v>343</v>
      </c>
      <c r="H1752" s="1042"/>
      <c r="I1752" s="1042"/>
      <c r="J1752" s="1043"/>
      <c r="K1752" s="1085">
        <v>0</v>
      </c>
      <c r="L1752" s="1086"/>
      <c r="M1752" s="18"/>
      <c r="N1752" s="18"/>
      <c r="O1752" s="98"/>
      <c r="P1752" s="99"/>
    </row>
    <row r="1753" spans="2:16" s="146" customFormat="1" ht="18" hidden="1" customHeight="1" x14ac:dyDescent="0.25">
      <c r="B1753" s="31" t="str">
        <f>C1737</f>
        <v>7.6</v>
      </c>
      <c r="C1753" s="29"/>
      <c r="E1753" s="30"/>
      <c r="F1753" s="30"/>
      <c r="G1753" s="1082" t="s">
        <v>344</v>
      </c>
      <c r="H1753" s="1083"/>
      <c r="I1753" s="1083"/>
      <c r="J1753" s="1084"/>
      <c r="K1753" s="1075">
        <f>K1752+O1737</f>
        <v>0</v>
      </c>
      <c r="L1753" s="1076"/>
      <c r="M1753" s="18"/>
      <c r="N1753" s="18"/>
      <c r="O1753" s="98"/>
      <c r="P1753" s="99"/>
    </row>
    <row r="1754" spans="2:16" s="146" customFormat="1" ht="18" hidden="1" customHeight="1" x14ac:dyDescent="0.25">
      <c r="C1754" s="29"/>
      <c r="D1754" s="30"/>
      <c r="E1754" s="30"/>
      <c r="F1754" s="30"/>
      <c r="G1754" s="1082" t="s">
        <v>345</v>
      </c>
      <c r="H1754" s="1083"/>
      <c r="I1754" s="1083"/>
      <c r="J1754" s="1084"/>
      <c r="K1754" s="1075">
        <f>'BM DETALHADO'!E117</f>
        <v>9107.84</v>
      </c>
      <c r="L1754" s="1076"/>
      <c r="M1754" s="18"/>
      <c r="N1754" s="18"/>
      <c r="O1754" s="98"/>
      <c r="P1754" s="99"/>
    </row>
    <row r="1755" spans="2:16" s="146" customFormat="1" ht="18" hidden="1" customHeight="1" thickBot="1" x14ac:dyDescent="0.3">
      <c r="C1755" s="29"/>
      <c r="D1755" s="30"/>
      <c r="E1755" s="30"/>
      <c r="F1755" s="30"/>
      <c r="G1755" s="1077" t="s">
        <v>346</v>
      </c>
      <c r="H1755" s="1078"/>
      <c r="I1755" s="1078"/>
      <c r="J1755" s="1079"/>
      <c r="K1755" s="1068">
        <f>K1754-K1753</f>
        <v>9107.84</v>
      </c>
      <c r="L1755" s="1069"/>
      <c r="M1755" s="18"/>
      <c r="N1755" s="18"/>
      <c r="O1755" s="98"/>
      <c r="P1755" s="99"/>
    </row>
    <row r="1756" spans="2:16" s="146" customFormat="1" ht="9.9499999999999993" hidden="1" customHeight="1" thickBot="1" x14ac:dyDescent="0.3">
      <c r="C1756" s="21"/>
      <c r="D1756" s="22"/>
      <c r="E1756" s="22"/>
      <c r="F1756" s="22"/>
      <c r="G1756" s="360"/>
      <c r="H1756" s="360"/>
      <c r="I1756" s="360"/>
      <c r="J1756" s="360"/>
      <c r="K1756" s="361"/>
      <c r="L1756" s="361"/>
      <c r="M1756" s="22"/>
      <c r="N1756" s="22"/>
      <c r="O1756" s="100"/>
      <c r="P1756" s="101"/>
    </row>
    <row r="1757" spans="2:16" s="146" customFormat="1" ht="18" customHeight="1" x14ac:dyDescent="0.25">
      <c r="C1757" s="20" t="s">
        <v>34</v>
      </c>
      <c r="D1757" s="1052" t="s">
        <v>35</v>
      </c>
      <c r="E1757" s="1053"/>
      <c r="F1757" s="1053"/>
      <c r="G1757" s="1053"/>
      <c r="H1757" s="1053"/>
      <c r="I1757" s="1053"/>
      <c r="J1757" s="1053"/>
      <c r="K1757" s="1053"/>
      <c r="L1757" s="1053"/>
      <c r="M1757" s="1054"/>
      <c r="N1757" s="145" t="s">
        <v>0</v>
      </c>
      <c r="O1757" s="1107" t="s">
        <v>4</v>
      </c>
      <c r="P1757" s="1108"/>
    </row>
    <row r="1758" spans="2:16" s="146" customFormat="1" ht="69.95" customHeight="1" thickBot="1" x14ac:dyDescent="0.3">
      <c r="C1758" s="85" t="s">
        <v>263</v>
      </c>
      <c r="D1758" s="1070" t="str">
        <f>VLOOKUP(C1758,'BM DETALHADO'!$B$13:$D$126,2,FALSE)</f>
        <v>ARQUITETO SENIOR (MENSALISTA)</v>
      </c>
      <c r="E1758" s="1071"/>
      <c r="F1758" s="1071"/>
      <c r="G1758" s="1071"/>
      <c r="H1758" s="1071"/>
      <c r="I1758" s="1071"/>
      <c r="J1758" s="1071"/>
      <c r="K1758" s="1071"/>
      <c r="L1758" s="1071"/>
      <c r="M1758" s="1072"/>
      <c r="N1758" s="19" t="str">
        <f>VLOOKUP(C1758,'BM DETALHADO'!$B$13:$D$126,3,FALSE)</f>
        <v xml:space="preserve">MES </v>
      </c>
      <c r="O1758" s="1109"/>
      <c r="P1758" s="1110"/>
    </row>
    <row r="1759" spans="2:16" s="146" customFormat="1" ht="9.9499999999999993" customHeight="1" x14ac:dyDescent="0.25">
      <c r="C1759" s="77"/>
      <c r="D1759" s="78"/>
      <c r="E1759" s="79"/>
      <c r="F1759" s="79"/>
      <c r="G1759" s="79"/>
      <c r="H1759" s="79"/>
      <c r="I1759" s="79"/>
      <c r="J1759" s="79"/>
      <c r="K1759" s="79"/>
      <c r="L1759" s="79"/>
      <c r="M1759" s="79"/>
      <c r="N1759" s="79"/>
      <c r="O1759" s="91"/>
      <c r="P1759" s="92"/>
    </row>
    <row r="1760" spans="2:16" s="146" customFormat="1" ht="18" customHeight="1" x14ac:dyDescent="0.25">
      <c r="C1760" s="147"/>
      <c r="D1760" s="1178" t="s">
        <v>284</v>
      </c>
      <c r="E1760" s="1178"/>
      <c r="F1760" s="1178"/>
      <c r="G1760" s="1178"/>
      <c r="H1760" s="1178"/>
      <c r="I1760" s="228" t="s">
        <v>285</v>
      </c>
      <c r="J1760" s="229" t="s">
        <v>397</v>
      </c>
      <c r="K1760" s="1247" t="s">
        <v>391</v>
      </c>
      <c r="L1760" s="1238"/>
      <c r="M1760" s="1188"/>
      <c r="N1760" s="1189"/>
      <c r="O1760" s="1292"/>
      <c r="P1760" s="1293"/>
    </row>
    <row r="1761" spans="2:16" s="542" customFormat="1" ht="18" customHeight="1" x14ac:dyDescent="0.25">
      <c r="C1761" s="545"/>
      <c r="D1761" s="1180">
        <v>44768</v>
      </c>
      <c r="E1761" s="1181"/>
      <c r="F1761" s="548" t="s">
        <v>288</v>
      </c>
      <c r="G1761" s="1158">
        <v>44773</v>
      </c>
      <c r="H1761" s="1159"/>
      <c r="I1761" s="547">
        <f>G1761-D1761+1</f>
        <v>6</v>
      </c>
      <c r="J1761" s="561">
        <f>I1761/30</f>
        <v>0.2</v>
      </c>
      <c r="K1761" s="1287" t="s">
        <v>392</v>
      </c>
      <c r="L1761" s="1288"/>
      <c r="M1761" s="562"/>
      <c r="N1761" s="647"/>
      <c r="O1761" s="548"/>
      <c r="P1761" s="563"/>
    </row>
    <row r="1762" spans="2:16" s="146" customFormat="1" ht="18" customHeight="1" x14ac:dyDescent="0.25">
      <c r="C1762" s="147"/>
      <c r="D1762" s="1180">
        <v>44774</v>
      </c>
      <c r="E1762" s="1276"/>
      <c r="F1762" s="172" t="s">
        <v>288</v>
      </c>
      <c r="G1762" s="1190">
        <v>44798</v>
      </c>
      <c r="H1762" s="1191"/>
      <c r="I1762" s="226">
        <f>G1762-D1762+1</f>
        <v>25</v>
      </c>
      <c r="J1762" s="559">
        <f>I1762/30</f>
        <v>0.83333333333333337</v>
      </c>
      <c r="K1762" s="1277" t="s">
        <v>393</v>
      </c>
      <c r="L1762" s="1277"/>
      <c r="M1762" s="586"/>
      <c r="N1762" s="647"/>
      <c r="O1762" s="248"/>
      <c r="P1762" s="587"/>
    </row>
    <row r="1763" spans="2:16" s="146" customFormat="1" ht="18" customHeight="1" x14ac:dyDescent="0.25">
      <c r="C1763" s="1183"/>
      <c r="D1763" s="1283"/>
      <c r="E1763" s="1284"/>
      <c r="F1763" s="1284"/>
      <c r="G1763" s="1284"/>
      <c r="H1763" s="1285"/>
      <c r="I1763" s="227"/>
      <c r="J1763" s="560"/>
      <c r="K1763" s="1176"/>
      <c r="L1763" s="1177"/>
      <c r="M1763" s="586"/>
      <c r="N1763" s="647"/>
      <c r="O1763" s="248"/>
      <c r="P1763" s="587"/>
    </row>
    <row r="1764" spans="2:16" s="542" customFormat="1" ht="18" customHeight="1" x14ac:dyDescent="0.25">
      <c r="C1764" s="1183"/>
      <c r="D1764" s="1286" t="s">
        <v>395</v>
      </c>
      <c r="E1764" s="1286"/>
      <c r="F1764" s="1286"/>
      <c r="G1764" s="1286"/>
      <c r="H1764" s="1286"/>
      <c r="I1764" s="565">
        <f>(I1761+I1762)-I1763</f>
        <v>31</v>
      </c>
      <c r="J1764" s="566">
        <f>SUM(J1761:J1762)</f>
        <v>1.0333333333333334</v>
      </c>
      <c r="K1764" s="567" t="s">
        <v>394</v>
      </c>
      <c r="L1764" s="567">
        <f>J1764</f>
        <v>1.0333333333333334</v>
      </c>
      <c r="M1764" s="564"/>
      <c r="N1764" s="647"/>
      <c r="O1764" s="248"/>
      <c r="P1764" s="587"/>
    </row>
    <row r="1765" spans="2:16" s="542" customFormat="1" ht="18" customHeight="1" x14ac:dyDescent="0.25">
      <c r="C1765" s="1183"/>
      <c r="D1765" s="171"/>
      <c r="E1765" s="171"/>
      <c r="F1765" s="171"/>
      <c r="G1765" s="171"/>
      <c r="H1765" s="171"/>
      <c r="I1765" s="189"/>
      <c r="J1765" s="190"/>
      <c r="K1765" s="189"/>
      <c r="L1765" s="190"/>
      <c r="M1765" s="188"/>
      <c r="N1765" s="647"/>
      <c r="O1765" s="188"/>
      <c r="P1765" s="93"/>
    </row>
    <row r="1766" spans="2:16" s="542" customFormat="1" ht="18" customHeight="1" x14ac:dyDescent="0.25">
      <c r="C1766" s="1183"/>
      <c r="D1766" s="648"/>
      <c r="E1766" s="648"/>
      <c r="F1766" s="648"/>
      <c r="G1766" s="648"/>
      <c r="H1766" s="648"/>
      <c r="I1766" s="638"/>
      <c r="J1766" s="648"/>
      <c r="K1766" s="648"/>
      <c r="L1766" s="648"/>
      <c r="M1766" s="1017" t="s">
        <v>479</v>
      </c>
      <c r="N1766" s="1017"/>
      <c r="O1766" s="1017"/>
      <c r="P1766" s="1018"/>
    </row>
    <row r="1767" spans="2:16" s="542" customFormat="1" ht="18" customHeight="1" x14ac:dyDescent="0.25">
      <c r="C1767" s="1183"/>
      <c r="D1767" s="651"/>
      <c r="E1767" s="651"/>
      <c r="F1767" s="639"/>
      <c r="G1767" s="651"/>
      <c r="H1767" s="651"/>
      <c r="I1767" s="639"/>
      <c r="J1767" s="649"/>
      <c r="K1767" s="652"/>
      <c r="L1767" s="652"/>
      <c r="M1767" s="1017"/>
      <c r="N1767" s="1017"/>
      <c r="O1767" s="1017"/>
      <c r="P1767" s="1018"/>
    </row>
    <row r="1768" spans="2:16" s="611" customFormat="1" ht="18" customHeight="1" x14ac:dyDescent="0.25">
      <c r="C1768" s="1183"/>
      <c r="D1768" s="651"/>
      <c r="E1768" s="651"/>
      <c r="F1768" s="721"/>
      <c r="G1768" s="651"/>
      <c r="H1768" s="651"/>
      <c r="I1768" s="721"/>
      <c r="J1768" s="649"/>
      <c r="K1768" s="652"/>
      <c r="L1768" s="652"/>
      <c r="M1768" s="1017"/>
      <c r="N1768" s="1017"/>
      <c r="O1768" s="1017"/>
      <c r="P1768" s="1018"/>
    </row>
    <row r="1769" spans="2:16" s="542" customFormat="1" ht="18" customHeight="1" x14ac:dyDescent="0.25">
      <c r="C1769" s="1183"/>
      <c r="D1769" s="651"/>
      <c r="E1769" s="651"/>
      <c r="F1769" s="651"/>
      <c r="G1769" s="651"/>
      <c r="H1769" s="651"/>
      <c r="I1769" s="639"/>
      <c r="J1769" s="650"/>
      <c r="K1769" s="653"/>
      <c r="L1769" s="653"/>
      <c r="M1769" s="1017"/>
      <c r="N1769" s="1017"/>
      <c r="O1769" s="1017"/>
      <c r="P1769" s="1018"/>
    </row>
    <row r="1770" spans="2:16" s="611" customFormat="1" ht="16.5" customHeight="1" thickBot="1" x14ac:dyDescent="0.3">
      <c r="C1770" s="80"/>
      <c r="D1770" s="257"/>
      <c r="E1770" s="257"/>
      <c r="F1770" s="606"/>
      <c r="G1770" s="530"/>
      <c r="H1770" s="531"/>
      <c r="I1770" s="176"/>
      <c r="J1770" s="554"/>
      <c r="K1770" s="554"/>
      <c r="L1770" s="554"/>
      <c r="M1770" s="1017"/>
      <c r="N1770" s="1017"/>
      <c r="O1770" s="1017"/>
      <c r="P1770" s="1018"/>
    </row>
    <row r="1771" spans="2:16" s="146" customFormat="1" ht="18" customHeight="1" x14ac:dyDescent="0.25">
      <c r="B1771" s="31" t="s">
        <v>34</v>
      </c>
      <c r="C1771" s="29"/>
      <c r="D1771" s="370"/>
      <c r="E1771" s="370"/>
      <c r="F1771" s="370"/>
      <c r="G1771" s="1041" t="s">
        <v>343</v>
      </c>
      <c r="H1771" s="1042"/>
      <c r="I1771" s="1042"/>
      <c r="J1771" s="1043"/>
      <c r="K1771" s="1085">
        <f>6</f>
        <v>6</v>
      </c>
      <c r="L1771" s="1086"/>
      <c r="M1771" s="1017"/>
      <c r="N1771" s="1017"/>
      <c r="O1771" s="1017"/>
      <c r="P1771" s="1018"/>
    </row>
    <row r="1772" spans="2:16" s="146" customFormat="1" ht="18" customHeight="1" x14ac:dyDescent="0.25">
      <c r="B1772" s="31" t="str">
        <f>C1758</f>
        <v>8.1</v>
      </c>
      <c r="C1772" s="29"/>
      <c r="E1772" s="30"/>
      <c r="F1772" s="30"/>
      <c r="G1772" s="1082" t="s">
        <v>344</v>
      </c>
      <c r="H1772" s="1083"/>
      <c r="I1772" s="1083"/>
      <c r="J1772" s="1084"/>
      <c r="K1772" s="1075">
        <f>K1771+O1758</f>
        <v>6</v>
      </c>
      <c r="L1772" s="1076"/>
      <c r="M1772" s="1017"/>
      <c r="N1772" s="1017"/>
      <c r="O1772" s="1017"/>
      <c r="P1772" s="1018"/>
    </row>
    <row r="1773" spans="2:16" s="146" customFormat="1" ht="18" customHeight="1" x14ac:dyDescent="0.25">
      <c r="C1773" s="29"/>
      <c r="D1773" s="30"/>
      <c r="E1773" s="30"/>
      <c r="F1773" s="30"/>
      <c r="G1773" s="1082" t="s">
        <v>345</v>
      </c>
      <c r="H1773" s="1083"/>
      <c r="I1773" s="1083"/>
      <c r="J1773" s="1084"/>
      <c r="K1773" s="1075">
        <f>'BM DETALHADO'!E119</f>
        <v>6</v>
      </c>
      <c r="L1773" s="1076"/>
      <c r="M1773" s="1017"/>
      <c r="N1773" s="1017"/>
      <c r="O1773" s="1017"/>
      <c r="P1773" s="1018"/>
    </row>
    <row r="1774" spans="2:16" s="146" customFormat="1" ht="18" customHeight="1" thickBot="1" x14ac:dyDescent="0.3">
      <c r="C1774" s="29"/>
      <c r="D1774" s="30"/>
      <c r="E1774" s="30"/>
      <c r="F1774" s="30"/>
      <c r="G1774" s="1077" t="s">
        <v>346</v>
      </c>
      <c r="H1774" s="1078"/>
      <c r="I1774" s="1078"/>
      <c r="J1774" s="1079"/>
      <c r="K1774" s="1068">
        <f>K1773-K1772</f>
        <v>0</v>
      </c>
      <c r="L1774" s="1069"/>
      <c r="M1774" s="1017"/>
      <c r="N1774" s="1017"/>
      <c r="O1774" s="1017"/>
      <c r="P1774" s="1018"/>
    </row>
    <row r="1775" spans="2:16" s="146" customFormat="1" ht="9.9499999999999993" customHeight="1" thickBot="1" x14ac:dyDescent="0.3">
      <c r="C1775" s="21"/>
      <c r="D1775" s="22"/>
      <c r="E1775" s="22"/>
      <c r="F1775" s="22"/>
      <c r="G1775" s="27"/>
      <c r="H1775" s="27"/>
      <c r="I1775" s="27"/>
      <c r="J1775" s="27"/>
      <c r="K1775" s="28"/>
      <c r="L1775" s="28"/>
      <c r="M1775" s="22"/>
      <c r="N1775" s="22"/>
      <c r="O1775" s="100"/>
      <c r="P1775" s="101"/>
    </row>
    <row r="1776" spans="2:16" s="146" customFormat="1" ht="18" customHeight="1" x14ac:dyDescent="0.25">
      <c r="C1776" s="20" t="s">
        <v>34</v>
      </c>
      <c r="D1776" s="1052" t="s">
        <v>35</v>
      </c>
      <c r="E1776" s="1053"/>
      <c r="F1776" s="1053"/>
      <c r="G1776" s="1053"/>
      <c r="H1776" s="1053"/>
      <c r="I1776" s="1053"/>
      <c r="J1776" s="1053"/>
      <c r="K1776" s="1053"/>
      <c r="L1776" s="1053"/>
      <c r="M1776" s="1054"/>
      <c r="N1776" s="145" t="s">
        <v>0</v>
      </c>
      <c r="O1776" s="1107" t="s">
        <v>4</v>
      </c>
      <c r="P1776" s="1108"/>
    </row>
    <row r="1777" spans="2:16" s="146" customFormat="1" ht="69.95" customHeight="1" thickBot="1" x14ac:dyDescent="0.3">
      <c r="C1777" s="85" t="s">
        <v>266</v>
      </c>
      <c r="D1777" s="1070" t="str">
        <f>VLOOKUP(C1777,'BM DETALHADO'!$B$13:$D$126,2,FALSE)</f>
        <v>ENGENHEIRO CIVIL SENIOR (MENSALISTA)</v>
      </c>
      <c r="E1777" s="1071"/>
      <c r="F1777" s="1071"/>
      <c r="G1777" s="1071"/>
      <c r="H1777" s="1071"/>
      <c r="I1777" s="1071"/>
      <c r="J1777" s="1071"/>
      <c r="K1777" s="1071"/>
      <c r="L1777" s="1071"/>
      <c r="M1777" s="1072"/>
      <c r="N1777" s="19" t="str">
        <f>VLOOKUP(C1777,'BM DETALHADO'!$B$13:$D$126,3,FALSE)</f>
        <v>MÊS</v>
      </c>
      <c r="O1777" s="1109"/>
      <c r="P1777" s="1110"/>
    </row>
    <row r="1778" spans="2:16" s="146" customFormat="1" ht="15.75" customHeight="1" x14ac:dyDescent="0.25">
      <c r="C1778" s="77"/>
      <c r="D1778" s="78"/>
      <c r="E1778" s="79"/>
      <c r="F1778" s="79"/>
      <c r="G1778" s="79"/>
      <c r="H1778" s="79"/>
      <c r="I1778" s="79"/>
      <c r="J1778" s="79"/>
      <c r="K1778" s="79"/>
      <c r="L1778" s="79"/>
      <c r="M1778" s="79"/>
      <c r="N1778" s="79"/>
      <c r="O1778" s="91"/>
      <c r="P1778" s="92"/>
    </row>
    <row r="1779" spans="2:16" s="146" customFormat="1" ht="18" customHeight="1" x14ac:dyDescent="0.25">
      <c r="C1779" s="147"/>
      <c r="D1779" s="1178" t="s">
        <v>284</v>
      </c>
      <c r="E1779" s="1178"/>
      <c r="F1779" s="1178"/>
      <c r="G1779" s="1178"/>
      <c r="H1779" s="1178"/>
      <c r="I1779" s="228" t="s">
        <v>285</v>
      </c>
      <c r="J1779" s="229" t="s">
        <v>397</v>
      </c>
      <c r="K1779" s="1178" t="s">
        <v>391</v>
      </c>
      <c r="L1779" s="1178"/>
      <c r="M1779" s="1189"/>
      <c r="N1779" s="1189"/>
      <c r="O1779" s="1292"/>
      <c r="P1779" s="1293"/>
    </row>
    <row r="1780" spans="2:16" s="146" customFormat="1" ht="18" customHeight="1" x14ac:dyDescent="0.25">
      <c r="C1780" s="147"/>
      <c r="D1780" s="1180">
        <v>44768</v>
      </c>
      <c r="E1780" s="1181"/>
      <c r="F1780" s="855" t="s">
        <v>288</v>
      </c>
      <c r="G1780" s="1158">
        <v>44773</v>
      </c>
      <c r="H1780" s="1159"/>
      <c r="I1780" s="226">
        <f>G1780-D1780+1</f>
        <v>6</v>
      </c>
      <c r="J1780" s="559">
        <f>I1780/30</f>
        <v>0.2</v>
      </c>
      <c r="K1780" s="1153" t="s">
        <v>393</v>
      </c>
      <c r="L1780" s="1154"/>
      <c r="M1780" s="1161"/>
      <c r="N1780" s="1161"/>
      <c r="O1780" s="1184"/>
      <c r="P1780" s="1185"/>
    </row>
    <row r="1781" spans="2:16" s="146" customFormat="1" ht="18" customHeight="1" x14ac:dyDescent="0.25">
      <c r="C1781" s="1183"/>
      <c r="D1781" s="1180">
        <v>44774</v>
      </c>
      <c r="E1781" s="1276"/>
      <c r="F1781" s="856" t="s">
        <v>288</v>
      </c>
      <c r="G1781" s="1190">
        <v>44798</v>
      </c>
      <c r="H1781" s="1191"/>
      <c r="I1781" s="226">
        <f>G1781-D1781+1</f>
        <v>25</v>
      </c>
      <c r="J1781" s="559">
        <f>I1781/30</f>
        <v>0.83333333333333337</v>
      </c>
      <c r="K1781" s="1155"/>
      <c r="L1781" s="1156"/>
      <c r="M1781" s="1161"/>
      <c r="N1781" s="1161"/>
      <c r="O1781" s="1184"/>
      <c r="P1781" s="1185"/>
    </row>
    <row r="1782" spans="2:16" s="146" customFormat="1" ht="18" customHeight="1" x14ac:dyDescent="0.25">
      <c r="C1782" s="1183"/>
      <c r="D1782" s="1179" t="s">
        <v>396</v>
      </c>
      <c r="E1782" s="1179"/>
      <c r="F1782" s="1179"/>
      <c r="G1782" s="1179"/>
      <c r="H1782" s="1179"/>
      <c r="I1782" s="569">
        <f>I1780+I1781</f>
        <v>31</v>
      </c>
      <c r="J1782" s="570">
        <f>J1780+J1781</f>
        <v>1.0333333333333334</v>
      </c>
      <c r="K1782" s="569" t="s">
        <v>394</v>
      </c>
      <c r="L1782" s="571">
        <f>J1782</f>
        <v>1.0333333333333334</v>
      </c>
      <c r="M1782" s="1161"/>
      <c r="N1782" s="1161"/>
      <c r="O1782" s="1184"/>
      <c r="P1782" s="1185"/>
    </row>
    <row r="1783" spans="2:16" s="542" customFormat="1" ht="18" customHeight="1" x14ac:dyDescent="0.25">
      <c r="C1783" s="1183"/>
      <c r="D1783" s="574"/>
      <c r="E1783" s="574"/>
      <c r="F1783" s="574"/>
      <c r="G1783" s="574"/>
      <c r="H1783" s="574"/>
      <c r="I1783" s="346"/>
      <c r="J1783" s="575"/>
      <c r="K1783" s="346"/>
      <c r="L1783" s="576"/>
      <c r="M1783" s="710"/>
      <c r="N1783" s="710"/>
      <c r="O1783" s="713"/>
      <c r="P1783" s="714"/>
    </row>
    <row r="1784" spans="2:16" s="542" customFormat="1" ht="18" customHeight="1" x14ac:dyDescent="0.25">
      <c r="C1784" s="1183"/>
      <c r="D1784" s="648"/>
      <c r="E1784" s="648"/>
      <c r="F1784" s="648"/>
      <c r="G1784" s="648"/>
      <c r="H1784" s="648"/>
      <c r="I1784" s="719"/>
      <c r="J1784" s="648"/>
      <c r="K1784" s="648"/>
      <c r="L1784" s="648"/>
      <c r="M1784" s="648"/>
      <c r="N1784" s="710"/>
      <c r="O1784" s="713"/>
      <c r="P1784" s="714"/>
    </row>
    <row r="1785" spans="2:16" s="146" customFormat="1" ht="18" customHeight="1" x14ac:dyDescent="0.25">
      <c r="C1785" s="1183"/>
      <c r="D1785" s="651"/>
      <c r="E1785" s="651"/>
      <c r="F1785" s="721"/>
      <c r="G1785" s="651"/>
      <c r="H1785" s="651"/>
      <c r="I1785" s="721"/>
      <c r="J1785" s="649"/>
      <c r="K1785" s="652"/>
      <c r="L1785" s="652"/>
      <c r="M1785" s="1017" t="s">
        <v>480</v>
      </c>
      <c r="N1785" s="1017"/>
      <c r="O1785" s="1017"/>
      <c r="P1785" s="1018"/>
    </row>
    <row r="1786" spans="2:16" s="146" customFormat="1" ht="18" customHeight="1" x14ac:dyDescent="0.25">
      <c r="C1786" s="80"/>
      <c r="D1786" s="239"/>
      <c r="E1786" s="239"/>
      <c r="F1786" s="239"/>
      <c r="G1786" s="239"/>
      <c r="H1786" s="239"/>
      <c r="I1786" s="239"/>
      <c r="J1786" s="239"/>
      <c r="K1786" s="239"/>
      <c r="L1786" s="239"/>
      <c r="M1786" s="1017"/>
      <c r="N1786" s="1017"/>
      <c r="O1786" s="1017"/>
      <c r="P1786" s="1018"/>
    </row>
    <row r="1787" spans="2:16" s="146" customFormat="1" ht="18" customHeight="1" x14ac:dyDescent="0.25">
      <c r="B1787" s="31" t="s">
        <v>34</v>
      </c>
      <c r="C1787" s="29"/>
      <c r="D1787" s="257"/>
      <c r="E1787" s="257"/>
      <c r="F1787" s="257"/>
      <c r="G1787" s="257"/>
      <c r="H1787" s="257"/>
      <c r="I1787" s="346"/>
      <c r="J1787" s="655"/>
      <c r="K1787" s="657"/>
      <c r="L1787" s="657"/>
      <c r="M1787" s="1017"/>
      <c r="N1787" s="1017"/>
      <c r="O1787" s="1017"/>
      <c r="P1787" s="1018"/>
    </row>
    <row r="1788" spans="2:16" s="542" customFormat="1" ht="18" customHeight="1" x14ac:dyDescent="0.25">
      <c r="B1788" s="31"/>
      <c r="C1788" s="29"/>
      <c r="D1788" s="711"/>
      <c r="E1788" s="711"/>
      <c r="F1788" s="711"/>
      <c r="G1788" s="230"/>
      <c r="H1788" s="178"/>
      <c r="I1788" s="176"/>
      <c r="J1788" s="554"/>
      <c r="K1788" s="554"/>
      <c r="L1788" s="554"/>
      <c r="M1788" s="1017"/>
      <c r="N1788" s="1017"/>
      <c r="O1788" s="1017"/>
      <c r="P1788" s="1018"/>
    </row>
    <row r="1789" spans="2:16" s="542" customFormat="1" ht="18" customHeight="1" x14ac:dyDescent="0.25">
      <c r="B1789" s="31"/>
      <c r="C1789" s="29"/>
      <c r="D1789" s="711"/>
      <c r="E1789" s="257"/>
      <c r="F1789" s="257"/>
      <c r="G1789" s="257"/>
      <c r="H1789" s="257"/>
      <c r="I1789" s="257"/>
      <c r="J1789" s="257"/>
      <c r="K1789" s="257"/>
      <c r="L1789" s="257"/>
      <c r="M1789" s="1017"/>
      <c r="N1789" s="1017"/>
      <c r="O1789" s="1017"/>
      <c r="P1789" s="1018"/>
    </row>
    <row r="1790" spans="2:16" s="146" customFormat="1" ht="18" customHeight="1" x14ac:dyDescent="0.25">
      <c r="B1790" s="31"/>
      <c r="C1790" s="29"/>
      <c r="D1790" s="711"/>
      <c r="E1790" s="711"/>
      <c r="F1790" s="711"/>
      <c r="G1790" s="230"/>
      <c r="H1790" s="178"/>
      <c r="I1790" s="176"/>
      <c r="J1790" s="554"/>
      <c r="K1790" s="554"/>
      <c r="L1790" s="554"/>
      <c r="M1790" s="1017"/>
      <c r="N1790" s="1017"/>
      <c r="O1790" s="1017"/>
      <c r="P1790" s="1018"/>
    </row>
    <row r="1791" spans="2:16" s="611" customFormat="1" ht="18" customHeight="1" x14ac:dyDescent="0.25">
      <c r="B1791" s="31"/>
      <c r="C1791" s="29"/>
      <c r="D1791" s="853"/>
      <c r="E1791" s="853"/>
      <c r="F1791" s="853"/>
      <c r="G1791" s="230"/>
      <c r="H1791" s="178"/>
      <c r="I1791" s="176"/>
      <c r="J1791" s="554"/>
      <c r="K1791" s="554"/>
      <c r="L1791" s="554"/>
      <c r="M1791" s="1017"/>
      <c r="N1791" s="1017"/>
      <c r="O1791" s="1017"/>
      <c r="P1791" s="1018"/>
    </row>
    <row r="1792" spans="2:16" s="577" customFormat="1" ht="18" customHeight="1" x14ac:dyDescent="0.25">
      <c r="B1792" s="31"/>
      <c r="C1792" s="29"/>
      <c r="D1792" s="711"/>
      <c r="E1792" s="711"/>
      <c r="F1792" s="711"/>
      <c r="G1792" s="230"/>
      <c r="H1792" s="178"/>
      <c r="I1792" s="176"/>
      <c r="J1792" s="554"/>
      <c r="K1792" s="554"/>
      <c r="L1792" s="554"/>
      <c r="M1792" s="1017"/>
      <c r="N1792" s="1017"/>
      <c r="O1792" s="1017"/>
      <c r="P1792" s="1018"/>
    </row>
    <row r="1793" spans="2:16" s="577" customFormat="1" ht="18" customHeight="1" thickBot="1" x14ac:dyDescent="0.3">
      <c r="B1793" s="31"/>
      <c r="C1793" s="29"/>
      <c r="D1793" s="711"/>
      <c r="E1793" s="711"/>
      <c r="F1793" s="711"/>
      <c r="G1793" s="230"/>
      <c r="H1793" s="178"/>
      <c r="I1793" s="176"/>
      <c r="J1793" s="554"/>
      <c r="K1793" s="554"/>
      <c r="L1793" s="554"/>
      <c r="M1793" s="554"/>
      <c r="N1793" s="176"/>
      <c r="O1793" s="178"/>
      <c r="P1793" s="97"/>
    </row>
    <row r="1794" spans="2:16" s="146" customFormat="1" ht="18" customHeight="1" x14ac:dyDescent="0.25">
      <c r="B1794" s="31"/>
      <c r="C1794" s="29"/>
      <c r="D1794" s="436"/>
      <c r="E1794" s="436"/>
      <c r="F1794" s="436"/>
      <c r="G1794" s="1041" t="s">
        <v>343</v>
      </c>
      <c r="H1794" s="1042"/>
      <c r="I1794" s="1042"/>
      <c r="J1794" s="1043"/>
      <c r="K1794" s="1085">
        <f>6</f>
        <v>6</v>
      </c>
      <c r="L1794" s="1086"/>
      <c r="M1794" s="437"/>
      <c r="N1794" s="176"/>
      <c r="O1794" s="178"/>
      <c r="P1794" s="97"/>
    </row>
    <row r="1795" spans="2:16" s="146" customFormat="1" ht="18" customHeight="1" x14ac:dyDescent="0.25">
      <c r="B1795" s="31" t="str">
        <f>C1777</f>
        <v>8.2</v>
      </c>
      <c r="C1795" s="29"/>
      <c r="E1795" s="30"/>
      <c r="F1795" s="30"/>
      <c r="G1795" s="1082" t="s">
        <v>344</v>
      </c>
      <c r="H1795" s="1083"/>
      <c r="I1795" s="1083"/>
      <c r="J1795" s="1084"/>
      <c r="K1795" s="1075">
        <f>K1794+O1777</f>
        <v>6</v>
      </c>
      <c r="L1795" s="1076"/>
      <c r="M1795" s="18"/>
      <c r="N1795" s="18"/>
      <c r="O1795" s="98"/>
      <c r="P1795" s="99"/>
    </row>
    <row r="1796" spans="2:16" s="146" customFormat="1" ht="18" customHeight="1" x14ac:dyDescent="0.25">
      <c r="C1796" s="29"/>
      <c r="D1796" s="30"/>
      <c r="E1796" s="30"/>
      <c r="F1796" s="30"/>
      <c r="G1796" s="1082" t="s">
        <v>345</v>
      </c>
      <c r="H1796" s="1083"/>
      <c r="I1796" s="1083"/>
      <c r="J1796" s="1084"/>
      <c r="K1796" s="1075">
        <f>'BM DETALHADO'!E120</f>
        <v>6</v>
      </c>
      <c r="L1796" s="1076"/>
      <c r="M1796" s="18"/>
      <c r="N1796" s="18"/>
      <c r="O1796" s="98"/>
      <c r="P1796" s="99"/>
    </row>
    <row r="1797" spans="2:16" s="146" customFormat="1" ht="18" customHeight="1" thickBot="1" x14ac:dyDescent="0.3">
      <c r="C1797" s="29"/>
      <c r="D1797" s="30"/>
      <c r="E1797" s="30"/>
      <c r="F1797" s="30"/>
      <c r="G1797" s="1077" t="s">
        <v>346</v>
      </c>
      <c r="H1797" s="1078"/>
      <c r="I1797" s="1078"/>
      <c r="J1797" s="1079"/>
      <c r="K1797" s="1068">
        <f>K1796-K1795</f>
        <v>0</v>
      </c>
      <c r="L1797" s="1069"/>
      <c r="M1797" s="18"/>
      <c r="N1797" s="18"/>
      <c r="O1797" s="98"/>
      <c r="P1797" s="99"/>
    </row>
    <row r="1798" spans="2:16" s="146" customFormat="1" ht="31.5" customHeight="1" thickBot="1" x14ac:dyDescent="0.3">
      <c r="C1798" s="21"/>
      <c r="D1798" s="22"/>
      <c r="E1798" s="22"/>
      <c r="F1798" s="22"/>
      <c r="G1798" s="1152"/>
      <c r="H1798" s="1152"/>
      <c r="I1798" s="1152"/>
      <c r="J1798" s="1152"/>
      <c r="K1798" s="1157"/>
      <c r="L1798" s="1157"/>
      <c r="M1798" s="22"/>
      <c r="N1798" s="22"/>
      <c r="O1798" s="100"/>
      <c r="P1798" s="101"/>
    </row>
    <row r="1799" spans="2:16" s="146" customFormat="1" ht="18" customHeight="1" x14ac:dyDescent="0.25">
      <c r="C1799" s="20" t="s">
        <v>34</v>
      </c>
      <c r="D1799" s="1052" t="s">
        <v>35</v>
      </c>
      <c r="E1799" s="1053"/>
      <c r="F1799" s="1053"/>
      <c r="G1799" s="1151"/>
      <c r="H1799" s="1151"/>
      <c r="I1799" s="1151"/>
      <c r="J1799" s="1151"/>
      <c r="K1799" s="1151"/>
      <c r="L1799" s="1151"/>
      <c r="M1799" s="1054"/>
      <c r="N1799" s="145" t="s">
        <v>0</v>
      </c>
      <c r="O1799" s="1107" t="s">
        <v>4</v>
      </c>
      <c r="P1799" s="1108"/>
    </row>
    <row r="1800" spans="2:16" s="146" customFormat="1" ht="69.95" customHeight="1" thickBot="1" x14ac:dyDescent="0.3">
      <c r="C1800" s="85" t="s">
        <v>268</v>
      </c>
      <c r="D1800" s="1070" t="str">
        <f>VLOOKUP(C1800,'BM DETALHADO'!$B$13:$D$126,2,FALSE)</f>
        <v>MESTRE DE OBRAS DE RESTAURO</v>
      </c>
      <c r="E1800" s="1071"/>
      <c r="F1800" s="1071"/>
      <c r="G1800" s="1071"/>
      <c r="H1800" s="1071"/>
      <c r="I1800" s="1071"/>
      <c r="J1800" s="1071"/>
      <c r="K1800" s="1071"/>
      <c r="L1800" s="1071"/>
      <c r="M1800" s="1072"/>
      <c r="N1800" s="19" t="str">
        <f>VLOOKUP(C1800,'BM DETALHADO'!$B$13:$D$126,3,FALSE)</f>
        <v>MÊS</v>
      </c>
      <c r="O1800" s="1109"/>
      <c r="P1800" s="1110"/>
    </row>
    <row r="1801" spans="2:16" s="146" customFormat="1" ht="9.9499999999999993" customHeight="1" x14ac:dyDescent="0.25">
      <c r="C1801" s="77"/>
      <c r="D1801" s="78"/>
      <c r="E1801" s="79"/>
      <c r="F1801" s="79"/>
      <c r="G1801" s="79"/>
      <c r="H1801" s="79"/>
      <c r="I1801" s="79"/>
      <c r="J1801" s="79"/>
      <c r="K1801" s="79"/>
      <c r="L1801" s="79"/>
      <c r="M1801" s="79"/>
      <c r="N1801" s="79"/>
      <c r="O1801" s="91"/>
      <c r="P1801" s="92"/>
    </row>
    <row r="1802" spans="2:16" s="146" customFormat="1" ht="18" customHeight="1" x14ac:dyDescent="0.25">
      <c r="C1802" s="147"/>
      <c r="D1802" s="1178" t="s">
        <v>284</v>
      </c>
      <c r="E1802" s="1178"/>
      <c r="F1802" s="1178"/>
      <c r="G1802" s="1178"/>
      <c r="H1802" s="1178"/>
      <c r="I1802" s="228" t="s">
        <v>285</v>
      </c>
      <c r="J1802" s="229" t="s">
        <v>397</v>
      </c>
      <c r="K1802" s="1178" t="s">
        <v>391</v>
      </c>
      <c r="L1802" s="1178"/>
      <c r="M1802" s="1188"/>
      <c r="N1802" s="1189"/>
      <c r="O1802" s="1292"/>
      <c r="P1802" s="1293"/>
    </row>
    <row r="1803" spans="2:16" s="146" customFormat="1" ht="18" customHeight="1" x14ac:dyDescent="0.25">
      <c r="C1803" s="147"/>
      <c r="D1803" s="1180">
        <v>44768</v>
      </c>
      <c r="E1803" s="1181"/>
      <c r="F1803" s="855" t="s">
        <v>288</v>
      </c>
      <c r="G1803" s="1158">
        <v>44773</v>
      </c>
      <c r="H1803" s="1159"/>
      <c r="I1803" s="634">
        <f>G1803-D1803+1</f>
        <v>6</v>
      </c>
      <c r="J1803" s="559">
        <f>I1803/30</f>
        <v>0.2</v>
      </c>
      <c r="K1803" s="1153" t="s">
        <v>393</v>
      </c>
      <c r="L1803" s="1154"/>
      <c r="M1803" s="1160"/>
      <c r="N1803" s="1161"/>
      <c r="O1803" s="1184"/>
      <c r="P1803" s="1185"/>
    </row>
    <row r="1804" spans="2:16" s="146" customFormat="1" ht="18" customHeight="1" x14ac:dyDescent="0.25">
      <c r="C1804" s="1183"/>
      <c r="D1804" s="1180">
        <v>44774</v>
      </c>
      <c r="E1804" s="1276"/>
      <c r="F1804" s="856" t="s">
        <v>288</v>
      </c>
      <c r="G1804" s="1190">
        <v>44798</v>
      </c>
      <c r="H1804" s="1191"/>
      <c r="I1804" s="634">
        <f>G1804-D1804+1</f>
        <v>25</v>
      </c>
      <c r="J1804" s="559">
        <f>I1804/30</f>
        <v>0.83333333333333337</v>
      </c>
      <c r="K1804" s="1155"/>
      <c r="L1804" s="1156"/>
      <c r="M1804" s="469"/>
      <c r="N1804" s="469"/>
      <c r="O1804" s="470"/>
      <c r="P1804" s="468"/>
    </row>
    <row r="1805" spans="2:16" s="542" customFormat="1" ht="18" customHeight="1" x14ac:dyDescent="0.25">
      <c r="C1805" s="1183"/>
      <c r="D1805" s="1179" t="s">
        <v>396</v>
      </c>
      <c r="E1805" s="1179"/>
      <c r="F1805" s="1179"/>
      <c r="G1805" s="1179"/>
      <c r="H1805" s="1179"/>
      <c r="I1805" s="549">
        <f>I1803+I1804</f>
        <v>31</v>
      </c>
      <c r="J1805" s="568">
        <f>SUM(J1803:J1804)</f>
        <v>1.0333333333333334</v>
      </c>
      <c r="K1805" s="572" t="s">
        <v>394</v>
      </c>
      <c r="L1805" s="573">
        <f>J1805</f>
        <v>1.0333333333333334</v>
      </c>
      <c r="M1805" s="469"/>
      <c r="N1805" s="469"/>
      <c r="O1805" s="470"/>
      <c r="P1805" s="550"/>
    </row>
    <row r="1806" spans="2:16" s="542" customFormat="1" ht="6" customHeight="1" x14ac:dyDescent="0.25">
      <c r="C1806" s="1183"/>
      <c r="D1806" s="546"/>
      <c r="E1806" s="546"/>
      <c r="F1806" s="548"/>
      <c r="G1806" s="551"/>
      <c r="H1806" s="551"/>
      <c r="I1806" s="548"/>
      <c r="J1806" s="548"/>
      <c r="K1806" s="548"/>
      <c r="L1806" s="548"/>
      <c r="M1806" s="469"/>
      <c r="N1806" s="469"/>
      <c r="O1806" s="470"/>
      <c r="P1806" s="550"/>
    </row>
    <row r="1807" spans="2:16" s="146" customFormat="1" ht="9.9499999999999993" customHeight="1" x14ac:dyDescent="0.25">
      <c r="C1807" s="80"/>
      <c r="D1807" s="175"/>
      <c r="E1807" s="175"/>
      <c r="F1807" s="175"/>
      <c r="G1807" s="175"/>
      <c r="H1807" s="175"/>
      <c r="I1807" s="175"/>
      <c r="J1807" s="175"/>
      <c r="K1807" s="175"/>
      <c r="L1807" s="176"/>
      <c r="M1807" s="177"/>
      <c r="N1807" s="176"/>
      <c r="O1807" s="178"/>
      <c r="P1807" s="93"/>
    </row>
    <row r="1808" spans="2:16" s="146" customFormat="1" ht="18" customHeight="1" x14ac:dyDescent="0.25">
      <c r="B1808" s="31" t="s">
        <v>34</v>
      </c>
      <c r="C1808" s="29"/>
      <c r="D1808" s="30"/>
      <c r="E1808" s="30"/>
      <c r="F1808" s="30"/>
      <c r="G1808" s="30"/>
      <c r="H1808" s="30"/>
      <c r="I1808" s="30"/>
      <c r="J1808" s="30"/>
      <c r="K1808" s="30"/>
      <c r="L1808" s="30"/>
      <c r="M1808" s="1017" t="s">
        <v>480</v>
      </c>
      <c r="N1808" s="1017"/>
      <c r="O1808" s="1017"/>
      <c r="P1808" s="1018"/>
    </row>
    <row r="1809" spans="2:16" s="555" customFormat="1" ht="18" customHeight="1" x14ac:dyDescent="0.25">
      <c r="B1809" s="31"/>
      <c r="C1809" s="29"/>
      <c r="D1809" s="651"/>
      <c r="E1809" s="651"/>
      <c r="F1809" s="651"/>
      <c r="G1809" s="651"/>
      <c r="H1809" s="651"/>
      <c r="I1809" s="651"/>
      <c r="J1809" s="651"/>
      <c r="K1809" s="651"/>
      <c r="L1809" s="651"/>
      <c r="M1809" s="1017"/>
      <c r="N1809" s="1017"/>
      <c r="O1809" s="1017"/>
      <c r="P1809" s="1018"/>
    </row>
    <row r="1810" spans="2:16" s="555" customFormat="1" ht="18" customHeight="1" x14ac:dyDescent="0.25">
      <c r="B1810" s="31"/>
      <c r="C1810" s="29"/>
      <c r="D1810" s="239"/>
      <c r="E1810" s="239"/>
      <c r="F1810" s="239"/>
      <c r="G1810" s="239"/>
      <c r="H1810" s="239"/>
      <c r="I1810" s="241"/>
      <c r="J1810" s="654"/>
      <c r="K1810" s="656"/>
      <c r="L1810" s="656"/>
      <c r="M1810" s="1017"/>
      <c r="N1810" s="1017"/>
      <c r="O1810" s="1017"/>
      <c r="P1810" s="1018"/>
    </row>
    <row r="1811" spans="2:16" s="555" customFormat="1" ht="18" customHeight="1" x14ac:dyDescent="0.25">
      <c r="B1811" s="31"/>
      <c r="C1811" s="29"/>
      <c r="D1811" s="257"/>
      <c r="E1811" s="257"/>
      <c r="F1811" s="257"/>
      <c r="G1811" s="257"/>
      <c r="H1811" s="257"/>
      <c r="I1811" s="346"/>
      <c r="J1811" s="655"/>
      <c r="K1811" s="657"/>
      <c r="L1811" s="657"/>
      <c r="M1811" s="1017"/>
      <c r="N1811" s="1017"/>
      <c r="O1811" s="1017"/>
      <c r="P1811" s="1018"/>
    </row>
    <row r="1812" spans="2:16" s="555" customFormat="1" ht="18" customHeight="1" x14ac:dyDescent="0.25">
      <c r="B1812" s="31"/>
      <c r="C1812" s="29"/>
      <c r="D1812" s="722"/>
      <c r="E1812" s="722"/>
      <c r="F1812" s="722"/>
      <c r="G1812" s="530"/>
      <c r="H1812" s="531"/>
      <c r="I1812" s="346"/>
      <c r="J1812" s="658"/>
      <c r="K1812" s="658"/>
      <c r="L1812" s="658"/>
      <c r="M1812" s="1017"/>
      <c r="N1812" s="1017"/>
      <c r="O1812" s="1017"/>
      <c r="P1812" s="1018"/>
    </row>
    <row r="1813" spans="2:16" s="555" customFormat="1" ht="18" customHeight="1" x14ac:dyDescent="0.25">
      <c r="B1813" s="31"/>
      <c r="C1813" s="29"/>
      <c r="D1813" s="722"/>
      <c r="E1813" s="722"/>
      <c r="F1813" s="722"/>
      <c r="G1813" s="530"/>
      <c r="H1813" s="531"/>
      <c r="I1813" s="346"/>
      <c r="J1813" s="658"/>
      <c r="K1813" s="658"/>
      <c r="L1813" s="659"/>
      <c r="M1813" s="1017"/>
      <c r="N1813" s="1017"/>
      <c r="O1813" s="1017"/>
      <c r="P1813" s="1018"/>
    </row>
    <row r="1814" spans="2:16" s="555" customFormat="1" ht="18" customHeight="1" thickBot="1" x14ac:dyDescent="0.3">
      <c r="B1814" s="31"/>
      <c r="C1814" s="29"/>
      <c r="D1814" s="711"/>
      <c r="E1814" s="711"/>
      <c r="F1814" s="711"/>
      <c r="G1814" s="230"/>
      <c r="H1814" s="178"/>
      <c r="I1814" s="176"/>
      <c r="J1814" s="554"/>
      <c r="K1814" s="554"/>
      <c r="L1814" s="554"/>
      <c r="M1814" s="1017"/>
      <c r="N1814" s="1017"/>
      <c r="O1814" s="1017"/>
      <c r="P1814" s="1018"/>
    </row>
    <row r="1815" spans="2:16" s="146" customFormat="1" ht="18" customHeight="1" x14ac:dyDescent="0.25">
      <c r="B1815" s="31"/>
      <c r="C1815" s="29"/>
      <c r="D1815" s="436"/>
      <c r="E1815" s="436"/>
      <c r="F1815" s="436"/>
      <c r="G1815" s="1041" t="s">
        <v>343</v>
      </c>
      <c r="H1815" s="1042"/>
      <c r="I1815" s="1042"/>
      <c r="J1815" s="1043"/>
      <c r="K1815" s="1085">
        <v>6</v>
      </c>
      <c r="L1815" s="1086"/>
      <c r="M1815" s="437"/>
      <c r="N1815" s="176"/>
      <c r="O1815" s="178"/>
      <c r="P1815" s="97"/>
    </row>
    <row r="1816" spans="2:16" s="146" customFormat="1" ht="18" customHeight="1" x14ac:dyDescent="0.25">
      <c r="B1816" s="31" t="str">
        <f>C1800</f>
        <v>8.3</v>
      </c>
      <c r="C1816" s="29"/>
      <c r="E1816" s="30"/>
      <c r="F1816" s="30"/>
      <c r="G1816" s="1082" t="s">
        <v>344</v>
      </c>
      <c r="H1816" s="1083"/>
      <c r="I1816" s="1083"/>
      <c r="J1816" s="1084"/>
      <c r="K1816" s="1075">
        <f>K1815+O1800</f>
        <v>6</v>
      </c>
      <c r="L1816" s="1076"/>
      <c r="M1816" s="18"/>
      <c r="N1816" s="18"/>
      <c r="O1816" s="98"/>
      <c r="P1816" s="99"/>
    </row>
    <row r="1817" spans="2:16" s="146" customFormat="1" ht="18" customHeight="1" x14ac:dyDescent="0.25">
      <c r="C1817" s="29"/>
      <c r="D1817" s="30"/>
      <c r="E1817" s="30"/>
      <c r="F1817" s="30"/>
      <c r="G1817" s="1082" t="s">
        <v>345</v>
      </c>
      <c r="H1817" s="1083"/>
      <c r="I1817" s="1083"/>
      <c r="J1817" s="1084"/>
      <c r="K1817" s="1075">
        <f>'BM DETALHADO'!E121</f>
        <v>6</v>
      </c>
      <c r="L1817" s="1076"/>
      <c r="M1817" s="18"/>
      <c r="N1817" s="18"/>
      <c r="O1817" s="98"/>
      <c r="P1817" s="99"/>
    </row>
    <row r="1818" spans="2:16" s="146" customFormat="1" ht="18" customHeight="1" thickBot="1" x14ac:dyDescent="0.3">
      <c r="C1818" s="29"/>
      <c r="D1818" s="30"/>
      <c r="E1818" s="30"/>
      <c r="F1818" s="30"/>
      <c r="G1818" s="1077" t="s">
        <v>346</v>
      </c>
      <c r="H1818" s="1078"/>
      <c r="I1818" s="1078"/>
      <c r="J1818" s="1079"/>
      <c r="K1818" s="1068">
        <f>K1817-K1816</f>
        <v>0</v>
      </c>
      <c r="L1818" s="1069"/>
      <c r="M1818" s="18"/>
      <c r="N1818" s="18"/>
      <c r="O1818" s="98"/>
      <c r="P1818" s="99"/>
    </row>
    <row r="1819" spans="2:16" s="146" customFormat="1" ht="9.9499999999999993" customHeight="1" thickBot="1" x14ac:dyDescent="0.3">
      <c r="C1819" s="21"/>
      <c r="D1819" s="22"/>
      <c r="E1819" s="22"/>
      <c r="F1819" s="22"/>
      <c r="G1819" s="1152"/>
      <c r="H1819" s="1152"/>
      <c r="I1819" s="1152"/>
      <c r="J1819" s="1152"/>
      <c r="K1819" s="1157"/>
      <c r="L1819" s="1157"/>
      <c r="M1819" s="22"/>
      <c r="N1819" s="22"/>
      <c r="O1819" s="100"/>
      <c r="P1819" s="101"/>
    </row>
    <row r="1820" spans="2:16" s="146" customFormat="1" ht="18" hidden="1" customHeight="1" x14ac:dyDescent="0.25">
      <c r="C1820" s="20" t="s">
        <v>34</v>
      </c>
      <c r="D1820" s="1052" t="s">
        <v>35</v>
      </c>
      <c r="E1820" s="1053"/>
      <c r="F1820" s="1053"/>
      <c r="G1820" s="1151"/>
      <c r="H1820" s="1151"/>
      <c r="I1820" s="1151"/>
      <c r="J1820" s="1151"/>
      <c r="K1820" s="1151"/>
      <c r="L1820" s="1151"/>
      <c r="M1820" s="1054"/>
      <c r="N1820" s="145" t="s">
        <v>0</v>
      </c>
      <c r="O1820" s="1107" t="s">
        <v>4</v>
      </c>
      <c r="P1820" s="1108"/>
    </row>
    <row r="1821" spans="2:16" s="146" customFormat="1" ht="69.95" hidden="1" customHeight="1" thickBot="1" x14ac:dyDescent="0.3">
      <c r="C1821" s="85" t="s">
        <v>270</v>
      </c>
      <c r="D1821" s="1070" t="str">
        <f>VLOOKUP(C1821,'BM DETALHADO'!$B$13:$D$126,2,FALSE)</f>
        <v xml:space="preserve">AS BUILT DE PROJETOS EXECUTADOS </v>
      </c>
      <c r="E1821" s="1071"/>
      <c r="F1821" s="1071"/>
      <c r="G1821" s="1071"/>
      <c r="H1821" s="1071"/>
      <c r="I1821" s="1071"/>
      <c r="J1821" s="1071"/>
      <c r="K1821" s="1071"/>
      <c r="L1821" s="1071"/>
      <c r="M1821" s="1072"/>
      <c r="N1821" s="19" t="str">
        <f>VLOOKUP(C1821,'BM DETALHADO'!$B$13:$D$126,3,FALSE)</f>
        <v>UNID</v>
      </c>
      <c r="O1821" s="1109"/>
      <c r="P1821" s="1187"/>
    </row>
    <row r="1822" spans="2:16" s="146" customFormat="1" ht="9.9499999999999993" hidden="1" customHeight="1" x14ac:dyDescent="0.25">
      <c r="C1822" s="77"/>
      <c r="D1822" s="78"/>
      <c r="E1822" s="79"/>
      <c r="F1822" s="79"/>
      <c r="G1822" s="79"/>
      <c r="H1822" s="79"/>
      <c r="I1822" s="79"/>
      <c r="J1822" s="79"/>
      <c r="K1822" s="79"/>
      <c r="L1822" s="79"/>
      <c r="M1822" s="79"/>
      <c r="N1822" s="79"/>
      <c r="O1822" s="91"/>
      <c r="P1822" s="92"/>
    </row>
    <row r="1823" spans="2:16" s="146" customFormat="1" ht="18" hidden="1" customHeight="1" x14ac:dyDescent="0.25">
      <c r="C1823" s="336"/>
      <c r="D1823" s="81"/>
      <c r="E1823" s="81"/>
      <c r="F1823" s="81"/>
      <c r="G1823" s="81"/>
      <c r="H1823" s="330"/>
      <c r="I1823" s="344"/>
      <c r="J1823" s="339"/>
      <c r="K1823" s="344"/>
      <c r="L1823" s="339"/>
      <c r="M1823" s="169"/>
      <c r="N1823" s="169"/>
      <c r="O1823" s="343"/>
      <c r="P1823" s="93"/>
    </row>
    <row r="1824" spans="2:16" s="146" customFormat="1" ht="18" hidden="1" customHeight="1" x14ac:dyDescent="0.25">
      <c r="C1824" s="336"/>
      <c r="D1824" s="333"/>
      <c r="E1824" s="333"/>
      <c r="F1824" s="333"/>
      <c r="G1824" s="333"/>
      <c r="H1824" s="330"/>
      <c r="I1824" s="330"/>
      <c r="J1824" s="330"/>
      <c r="K1824" s="330"/>
      <c r="L1824" s="330"/>
      <c r="M1824" s="330"/>
      <c r="N1824" s="330"/>
      <c r="O1824" s="94"/>
      <c r="P1824" s="93"/>
    </row>
    <row r="1825" spans="2:16" s="146" customFormat="1" ht="18" hidden="1" customHeight="1" x14ac:dyDescent="0.25">
      <c r="C1825" s="202"/>
      <c r="D1825" s="81"/>
      <c r="E1825" s="81"/>
      <c r="F1825" s="81"/>
      <c r="G1825" s="81"/>
      <c r="H1825" s="81"/>
      <c r="I1825" s="167"/>
      <c r="J1825" s="168"/>
      <c r="K1825" s="167"/>
      <c r="L1825" s="168"/>
      <c r="M1825" s="169"/>
      <c r="N1825" s="169"/>
      <c r="O1825" s="169"/>
      <c r="P1825" s="93"/>
    </row>
    <row r="1826" spans="2:16" s="146" customFormat="1" ht="18" hidden="1" customHeight="1" x14ac:dyDescent="0.25">
      <c r="C1826" s="202"/>
      <c r="D1826" s="81"/>
      <c r="E1826" s="81"/>
      <c r="F1826" s="81"/>
      <c r="G1826" s="81"/>
      <c r="H1826" s="81"/>
      <c r="I1826" s="167"/>
      <c r="J1826" s="168"/>
      <c r="K1826" s="167"/>
      <c r="L1826" s="168"/>
      <c r="M1826" s="169"/>
      <c r="N1826" s="169"/>
      <c r="O1826" s="169"/>
      <c r="P1826" s="93"/>
    </row>
    <row r="1827" spans="2:16" s="146" customFormat="1" ht="18" hidden="1" customHeight="1" x14ac:dyDescent="0.25">
      <c r="C1827" s="202"/>
      <c r="D1827" s="81"/>
      <c r="E1827" s="81"/>
      <c r="F1827" s="81"/>
      <c r="G1827" s="81"/>
      <c r="H1827" s="81"/>
      <c r="I1827" s="167"/>
      <c r="J1827" s="168"/>
      <c r="K1827" s="167"/>
      <c r="L1827" s="168"/>
      <c r="M1827" s="169"/>
      <c r="N1827" s="169"/>
      <c r="O1827" s="169"/>
      <c r="P1827" s="93"/>
    </row>
    <row r="1828" spans="2:16" s="146" customFormat="1" ht="18" hidden="1" customHeight="1" x14ac:dyDescent="0.25">
      <c r="C1828" s="202"/>
      <c r="D1828" s="81"/>
      <c r="E1828" s="81"/>
      <c r="F1828" s="81"/>
      <c r="G1828" s="81"/>
      <c r="H1828" s="81"/>
      <c r="I1828" s="167"/>
      <c r="J1828" s="168"/>
      <c r="K1828" s="167"/>
      <c r="L1828" s="168"/>
      <c r="M1828" s="169"/>
      <c r="N1828" s="169"/>
      <c r="O1828" s="169"/>
      <c r="P1828" s="93"/>
    </row>
    <row r="1829" spans="2:16" s="146" customFormat="1" ht="18" hidden="1" customHeight="1" x14ac:dyDescent="0.25">
      <c r="C1829" s="202"/>
      <c r="D1829" s="81"/>
      <c r="E1829" s="81"/>
      <c r="F1829" s="81"/>
      <c r="G1829" s="81"/>
      <c r="H1829" s="81"/>
      <c r="I1829" s="167"/>
      <c r="J1829" s="168"/>
      <c r="K1829" s="167"/>
      <c r="L1829" s="168"/>
      <c r="M1829" s="169"/>
      <c r="N1829" s="169"/>
      <c r="O1829" s="169"/>
      <c r="P1829" s="93"/>
    </row>
    <row r="1830" spans="2:16" s="146" customFormat="1" ht="18" hidden="1" customHeight="1" x14ac:dyDescent="0.25">
      <c r="C1830" s="80"/>
      <c r="D1830" s="81"/>
      <c r="E1830" s="330"/>
      <c r="F1830" s="330"/>
      <c r="G1830" s="330"/>
      <c r="H1830" s="330"/>
      <c r="I1830" s="330"/>
      <c r="J1830" s="330"/>
      <c r="K1830" s="330"/>
      <c r="L1830" s="330"/>
      <c r="M1830" s="330"/>
      <c r="N1830" s="330"/>
      <c r="O1830" s="94"/>
      <c r="P1830" s="93"/>
    </row>
    <row r="1831" spans="2:16" s="146" customFormat="1" ht="18" hidden="1" customHeight="1" x14ac:dyDescent="0.25">
      <c r="C1831" s="80"/>
      <c r="D1831" s="180"/>
      <c r="E1831" s="180"/>
      <c r="F1831" s="180"/>
      <c r="G1831" s="180"/>
      <c r="H1831" s="180"/>
      <c r="I1831" s="180"/>
      <c r="J1831" s="180"/>
      <c r="K1831" s="180"/>
      <c r="L1831" s="328"/>
      <c r="M1831" s="181"/>
      <c r="N1831" s="181"/>
      <c r="O1831" s="95"/>
      <c r="P1831" s="93"/>
    </row>
    <row r="1832" spans="2:16" s="146" customFormat="1" ht="18" hidden="1" customHeight="1" x14ac:dyDescent="0.25">
      <c r="C1832" s="80"/>
      <c r="D1832" s="331"/>
      <c r="E1832" s="331"/>
      <c r="F1832" s="331"/>
      <c r="G1832" s="331"/>
      <c r="H1832" s="331"/>
      <c r="I1832" s="331"/>
      <c r="J1832" s="331"/>
      <c r="K1832" s="331"/>
      <c r="L1832" s="328"/>
      <c r="M1832" s="332"/>
      <c r="N1832" s="328"/>
      <c r="O1832" s="95"/>
      <c r="P1832" s="93"/>
    </row>
    <row r="1833" spans="2:16" s="146" customFormat="1" ht="18" hidden="1" customHeight="1" x14ac:dyDescent="0.25">
      <c r="C1833" s="80"/>
      <c r="D1833" s="331"/>
      <c r="E1833" s="331"/>
      <c r="F1833" s="331"/>
      <c r="G1833" s="331"/>
      <c r="H1833" s="331"/>
      <c r="I1833" s="331"/>
      <c r="J1833" s="331"/>
      <c r="K1833" s="331"/>
      <c r="L1833" s="328"/>
      <c r="M1833" s="332"/>
      <c r="N1833" s="328"/>
      <c r="O1833" s="95"/>
      <c r="P1833" s="93"/>
    </row>
    <row r="1834" spans="2:16" s="146" customFormat="1" ht="18" hidden="1" customHeight="1" x14ac:dyDescent="0.25">
      <c r="C1834" s="80"/>
      <c r="D1834" s="331"/>
      <c r="E1834" s="331"/>
      <c r="F1834" s="331"/>
      <c r="G1834" s="331"/>
      <c r="H1834" s="331"/>
      <c r="I1834" s="331"/>
      <c r="J1834" s="331"/>
      <c r="K1834" s="331"/>
      <c r="L1834" s="328"/>
      <c r="M1834" s="332"/>
      <c r="N1834" s="328"/>
      <c r="O1834" s="95"/>
      <c r="P1834" s="93"/>
    </row>
    <row r="1835" spans="2:16" s="146" customFormat="1" ht="9.9499999999999993" hidden="1" customHeight="1" thickBot="1" x14ac:dyDescent="0.3">
      <c r="C1835" s="80"/>
      <c r="D1835" s="81"/>
      <c r="E1835" s="81"/>
      <c r="F1835" s="81"/>
      <c r="G1835" s="81"/>
      <c r="H1835" s="81"/>
      <c r="I1835" s="81"/>
      <c r="J1835" s="81"/>
      <c r="K1835" s="81"/>
      <c r="L1835" s="81"/>
      <c r="M1835" s="81"/>
      <c r="N1835" s="81"/>
      <c r="O1835" s="96"/>
      <c r="P1835" s="97"/>
    </row>
    <row r="1836" spans="2:16" s="146" customFormat="1" ht="18" hidden="1" customHeight="1" x14ac:dyDescent="0.25">
      <c r="B1836" s="31" t="s">
        <v>34</v>
      </c>
      <c r="C1836" s="29"/>
      <c r="E1836" s="30"/>
      <c r="F1836" s="30"/>
      <c r="G1836" s="1041" t="s">
        <v>343</v>
      </c>
      <c r="H1836" s="1042"/>
      <c r="I1836" s="1042"/>
      <c r="J1836" s="1043"/>
      <c r="K1836" s="1085">
        <v>0</v>
      </c>
      <c r="L1836" s="1086"/>
      <c r="M1836" s="18"/>
      <c r="N1836" s="18"/>
      <c r="O1836" s="98"/>
      <c r="P1836" s="99"/>
    </row>
    <row r="1837" spans="2:16" s="146" customFormat="1" ht="18" hidden="1" customHeight="1" x14ac:dyDescent="0.25">
      <c r="B1837" s="31" t="str">
        <f>C1821</f>
        <v>8.4</v>
      </c>
      <c r="C1837" s="29"/>
      <c r="E1837" s="30"/>
      <c r="F1837" s="30"/>
      <c r="G1837" s="1082" t="s">
        <v>344</v>
      </c>
      <c r="H1837" s="1083"/>
      <c r="I1837" s="1083"/>
      <c r="J1837" s="1084"/>
      <c r="K1837" s="1075">
        <f>K1836+O1819</f>
        <v>0</v>
      </c>
      <c r="L1837" s="1076"/>
      <c r="M1837" s="18"/>
      <c r="N1837" s="18"/>
      <c r="O1837" s="98"/>
      <c r="P1837" s="99"/>
    </row>
    <row r="1838" spans="2:16" s="146" customFormat="1" ht="18" hidden="1" customHeight="1" x14ac:dyDescent="0.25">
      <c r="C1838" s="29"/>
      <c r="D1838" s="30"/>
      <c r="E1838" s="30"/>
      <c r="F1838" s="30"/>
      <c r="G1838" s="1082" t="s">
        <v>345</v>
      </c>
      <c r="H1838" s="1083"/>
      <c r="I1838" s="1083"/>
      <c r="J1838" s="1084"/>
      <c r="K1838" s="1075">
        <f>'BM DETALHADO'!E122</f>
        <v>1</v>
      </c>
      <c r="L1838" s="1076"/>
      <c r="M1838" s="18"/>
      <c r="N1838" s="18"/>
      <c r="O1838" s="98"/>
      <c r="P1838" s="99"/>
    </row>
    <row r="1839" spans="2:16" s="146" customFormat="1" ht="18" hidden="1" customHeight="1" thickBot="1" x14ac:dyDescent="0.3">
      <c r="C1839" s="29"/>
      <c r="D1839" s="30"/>
      <c r="E1839" s="30"/>
      <c r="F1839" s="30"/>
      <c r="G1839" s="1077" t="s">
        <v>346</v>
      </c>
      <c r="H1839" s="1078"/>
      <c r="I1839" s="1078"/>
      <c r="J1839" s="1079"/>
      <c r="K1839" s="1068">
        <f>K1838-K1837</f>
        <v>1</v>
      </c>
      <c r="L1839" s="1069"/>
      <c r="M1839" s="18"/>
      <c r="N1839" s="18"/>
      <c r="O1839" s="98"/>
      <c r="P1839" s="99"/>
    </row>
    <row r="1840" spans="2:16" s="146" customFormat="1" ht="9.9499999999999993" hidden="1" customHeight="1" thickBot="1" x14ac:dyDescent="0.3">
      <c r="C1840" s="21"/>
      <c r="D1840" s="22"/>
      <c r="E1840" s="22"/>
      <c r="F1840" s="22"/>
      <c r="G1840" s="27"/>
      <c r="H1840" s="27"/>
      <c r="I1840" s="27"/>
      <c r="J1840" s="27"/>
      <c r="K1840" s="28"/>
      <c r="L1840" s="28"/>
      <c r="M1840" s="22"/>
      <c r="N1840" s="22"/>
      <c r="O1840" s="100"/>
      <c r="P1840" s="101"/>
    </row>
    <row r="1841" spans="3:16" s="146" customFormat="1" ht="18" hidden="1" customHeight="1" x14ac:dyDescent="0.25">
      <c r="C1841" s="20" t="s">
        <v>34</v>
      </c>
      <c r="D1841" s="1052" t="s">
        <v>35</v>
      </c>
      <c r="E1841" s="1053"/>
      <c r="F1841" s="1053"/>
      <c r="G1841" s="1053"/>
      <c r="H1841" s="1053"/>
      <c r="I1841" s="1053"/>
      <c r="J1841" s="1053"/>
      <c r="K1841" s="1053"/>
      <c r="L1841" s="1053"/>
      <c r="M1841" s="1054"/>
      <c r="N1841" s="145" t="s">
        <v>0</v>
      </c>
      <c r="O1841" s="1107" t="s">
        <v>4</v>
      </c>
      <c r="P1841" s="1108"/>
    </row>
    <row r="1842" spans="3:16" s="146" customFormat="1" ht="69.95" hidden="1" customHeight="1" thickBot="1" x14ac:dyDescent="0.3">
      <c r="C1842" s="85" t="s">
        <v>272</v>
      </c>
      <c r="D1842" s="1070" t="e">
        <f>VLOOKUP(C1842,'BM DETALHADO'!$B$13:$D$126,2,FALSE)</f>
        <v>#N/A</v>
      </c>
      <c r="E1842" s="1071"/>
      <c r="F1842" s="1071"/>
      <c r="G1842" s="1071"/>
      <c r="H1842" s="1071"/>
      <c r="I1842" s="1071"/>
      <c r="J1842" s="1071"/>
      <c r="K1842" s="1071"/>
      <c r="L1842" s="1071"/>
      <c r="M1842" s="1072"/>
      <c r="N1842" s="19" t="e">
        <f>VLOOKUP(C1842,'BM DETALHADO'!$B$13:$D$126,3,FALSE)</f>
        <v>#N/A</v>
      </c>
      <c r="O1842" s="1109"/>
      <c r="P1842" s="1187"/>
    </row>
    <row r="1843" spans="3:16" s="146" customFormat="1" ht="9.9499999999999993" hidden="1" customHeight="1" x14ac:dyDescent="0.25">
      <c r="C1843" s="77"/>
      <c r="D1843" s="78"/>
      <c r="E1843" s="79"/>
      <c r="F1843" s="79"/>
      <c r="G1843" s="79"/>
      <c r="H1843" s="79"/>
      <c r="I1843" s="79"/>
      <c r="J1843" s="79"/>
      <c r="K1843" s="79"/>
      <c r="L1843" s="79"/>
      <c r="M1843" s="79"/>
      <c r="N1843" s="79"/>
      <c r="O1843" s="91"/>
      <c r="P1843" s="92"/>
    </row>
    <row r="1844" spans="3:16" s="146" customFormat="1" ht="18" hidden="1" customHeight="1" x14ac:dyDescent="0.25">
      <c r="C1844" s="336"/>
      <c r="D1844" s="81"/>
      <c r="E1844" s="81"/>
      <c r="F1844" s="81"/>
      <c r="G1844" s="81"/>
      <c r="H1844" s="330"/>
      <c r="I1844" s="344"/>
      <c r="J1844" s="339"/>
      <c r="K1844" s="344"/>
      <c r="L1844" s="339"/>
      <c r="M1844" s="169"/>
      <c r="N1844" s="169"/>
      <c r="O1844" s="343"/>
      <c r="P1844" s="93"/>
    </row>
    <row r="1845" spans="3:16" s="146" customFormat="1" ht="18" hidden="1" customHeight="1" x14ac:dyDescent="0.25">
      <c r="C1845" s="336"/>
      <c r="D1845" s="333"/>
      <c r="E1845" s="333"/>
      <c r="F1845" s="333"/>
      <c r="G1845" s="333"/>
      <c r="H1845" s="330"/>
      <c r="I1845" s="330"/>
      <c r="J1845" s="330"/>
      <c r="K1845" s="330"/>
      <c r="L1845" s="330"/>
      <c r="M1845" s="330"/>
      <c r="N1845" s="330"/>
      <c r="O1845" s="94"/>
      <c r="P1845" s="93"/>
    </row>
    <row r="1846" spans="3:16" s="146" customFormat="1" ht="18" hidden="1" customHeight="1" x14ac:dyDescent="0.25">
      <c r="C1846" s="202"/>
      <c r="D1846" s="81"/>
      <c r="E1846" s="81"/>
      <c r="F1846" s="81"/>
      <c r="G1846" s="81"/>
      <c r="H1846" s="81"/>
      <c r="I1846" s="167"/>
      <c r="J1846" s="168"/>
      <c r="K1846" s="167"/>
      <c r="L1846" s="168"/>
      <c r="M1846" s="169"/>
      <c r="N1846" s="169"/>
      <c r="O1846" s="169"/>
      <c r="P1846" s="93"/>
    </row>
    <row r="1847" spans="3:16" s="146" customFormat="1" ht="18" hidden="1" customHeight="1" x14ac:dyDescent="0.25">
      <c r="C1847" s="202"/>
      <c r="D1847" s="81"/>
      <c r="E1847" s="81"/>
      <c r="F1847" s="81"/>
      <c r="G1847" s="81"/>
      <c r="H1847" s="81"/>
      <c r="I1847" s="167"/>
      <c r="J1847" s="168"/>
      <c r="K1847" s="167"/>
      <c r="L1847" s="168"/>
      <c r="M1847" s="169"/>
      <c r="N1847" s="169"/>
      <c r="O1847" s="169"/>
      <c r="P1847" s="93"/>
    </row>
    <row r="1848" spans="3:16" s="146" customFormat="1" ht="18" hidden="1" customHeight="1" x14ac:dyDescent="0.25">
      <c r="C1848" s="202"/>
      <c r="D1848" s="81"/>
      <c r="E1848" s="81"/>
      <c r="F1848" s="81"/>
      <c r="G1848" s="81"/>
      <c r="H1848" s="81"/>
      <c r="I1848" s="167"/>
      <c r="J1848" s="168"/>
      <c r="K1848" s="167"/>
      <c r="L1848" s="168"/>
      <c r="M1848" s="169"/>
      <c r="N1848" s="169"/>
      <c r="O1848" s="169"/>
      <c r="P1848" s="93"/>
    </row>
    <row r="1849" spans="3:16" s="146" customFormat="1" ht="18" hidden="1" customHeight="1" x14ac:dyDescent="0.25">
      <c r="C1849" s="202"/>
      <c r="D1849" s="81"/>
      <c r="E1849" s="81"/>
      <c r="F1849" s="81"/>
      <c r="G1849" s="81"/>
      <c r="H1849" s="81"/>
      <c r="I1849" s="167"/>
      <c r="J1849" s="168"/>
      <c r="K1849" s="167"/>
      <c r="L1849" s="168"/>
      <c r="M1849" s="169"/>
      <c r="N1849" s="169"/>
      <c r="O1849" s="169"/>
      <c r="P1849" s="93"/>
    </row>
    <row r="1850" spans="3:16" s="146" customFormat="1" ht="18" hidden="1" customHeight="1" x14ac:dyDescent="0.25">
      <c r="C1850" s="202"/>
      <c r="D1850" s="81"/>
      <c r="E1850" s="81"/>
      <c r="F1850" s="81"/>
      <c r="G1850" s="81"/>
      <c r="H1850" s="81"/>
      <c r="I1850" s="167"/>
      <c r="J1850" s="168"/>
      <c r="K1850" s="167"/>
      <c r="L1850" s="168"/>
      <c r="M1850" s="169"/>
      <c r="N1850" s="169"/>
      <c r="O1850" s="169"/>
      <c r="P1850" s="93"/>
    </row>
    <row r="1851" spans="3:16" s="146" customFormat="1" ht="18" hidden="1" customHeight="1" x14ac:dyDescent="0.25">
      <c r="C1851" s="80"/>
      <c r="D1851" s="81"/>
      <c r="E1851" s="330"/>
      <c r="F1851" s="330"/>
      <c r="G1851" s="330"/>
      <c r="H1851" s="330"/>
      <c r="I1851" s="330"/>
      <c r="J1851" s="330"/>
      <c r="K1851" s="330"/>
      <c r="L1851" s="330"/>
      <c r="M1851" s="330"/>
      <c r="N1851" s="330"/>
      <c r="O1851" s="94"/>
      <c r="P1851" s="93"/>
    </row>
    <row r="1852" spans="3:16" s="146" customFormat="1" ht="18" hidden="1" customHeight="1" x14ac:dyDescent="0.25">
      <c r="C1852" s="80"/>
      <c r="D1852" s="180"/>
      <c r="E1852" s="180"/>
      <c r="F1852" s="180"/>
      <c r="G1852" s="180"/>
      <c r="H1852" s="180"/>
      <c r="I1852" s="180"/>
      <c r="J1852" s="180"/>
      <c r="K1852" s="180"/>
      <c r="L1852" s="328"/>
      <c r="M1852" s="181"/>
      <c r="N1852" s="181"/>
      <c r="O1852" s="95"/>
      <c r="P1852" s="93"/>
    </row>
    <row r="1853" spans="3:16" s="146" customFormat="1" ht="18" hidden="1" customHeight="1" x14ac:dyDescent="0.25">
      <c r="C1853" s="80"/>
      <c r="D1853" s="331"/>
      <c r="E1853" s="331"/>
      <c r="F1853" s="331"/>
      <c r="G1853" s="331"/>
      <c r="H1853" s="331"/>
      <c r="I1853" s="331"/>
      <c r="J1853" s="331"/>
      <c r="K1853" s="331"/>
      <c r="L1853" s="328"/>
      <c r="M1853" s="332"/>
      <c r="N1853" s="328"/>
      <c r="O1853" s="95"/>
      <c r="P1853" s="93"/>
    </row>
    <row r="1854" spans="3:16" s="146" customFormat="1" ht="18" hidden="1" customHeight="1" x14ac:dyDescent="0.25">
      <c r="C1854" s="80"/>
      <c r="D1854" s="331"/>
      <c r="E1854" s="331"/>
      <c r="F1854" s="331"/>
      <c r="G1854" s="331"/>
      <c r="H1854" s="331"/>
      <c r="I1854" s="331"/>
      <c r="J1854" s="331"/>
      <c r="K1854" s="331"/>
      <c r="L1854" s="328"/>
      <c r="M1854" s="332"/>
      <c r="N1854" s="328"/>
      <c r="O1854" s="95"/>
      <c r="P1854" s="93"/>
    </row>
    <row r="1855" spans="3:16" s="146" customFormat="1" ht="18" hidden="1" customHeight="1" x14ac:dyDescent="0.25">
      <c r="C1855" s="80"/>
      <c r="D1855" s="331"/>
      <c r="E1855" s="331"/>
      <c r="F1855" s="331"/>
      <c r="G1855" s="331"/>
      <c r="H1855" s="331"/>
      <c r="I1855" s="331"/>
      <c r="J1855" s="331"/>
      <c r="K1855" s="331"/>
      <c r="L1855" s="328"/>
      <c r="M1855" s="332"/>
      <c r="N1855" s="328"/>
      <c r="O1855" s="95"/>
      <c r="P1855" s="93"/>
    </row>
    <row r="1856" spans="3:16" s="146" customFormat="1" ht="9.9499999999999993" hidden="1" customHeight="1" x14ac:dyDescent="0.25">
      <c r="C1856" s="80"/>
      <c r="D1856" s="81"/>
      <c r="E1856" s="81"/>
      <c r="F1856" s="81"/>
      <c r="G1856" s="81"/>
      <c r="H1856" s="81"/>
      <c r="I1856" s="81"/>
      <c r="J1856" s="81"/>
      <c r="K1856" s="81"/>
      <c r="L1856" s="81"/>
      <c r="M1856" s="81"/>
      <c r="N1856" s="81"/>
      <c r="O1856" s="96"/>
      <c r="P1856" s="97"/>
    </row>
    <row r="1857" spans="2:16" s="146" customFormat="1" ht="18" hidden="1" customHeight="1" x14ac:dyDescent="0.25">
      <c r="B1857" s="31" t="s">
        <v>34</v>
      </c>
      <c r="C1857" s="29"/>
      <c r="E1857" s="30"/>
      <c r="F1857" s="30"/>
      <c r="G1857" s="363"/>
      <c r="H1857" s="363"/>
      <c r="I1857" s="363"/>
      <c r="J1857" s="363"/>
      <c r="K1857" s="365"/>
      <c r="L1857" s="365"/>
      <c r="M1857" s="18"/>
      <c r="N1857" s="18"/>
      <c r="O1857" s="98"/>
      <c r="P1857" s="99"/>
    </row>
    <row r="1858" spans="2:16" s="146" customFormat="1" ht="18" hidden="1" customHeight="1" x14ac:dyDescent="0.25">
      <c r="B1858" s="31" t="str">
        <f>C1842</f>
        <v>8.5</v>
      </c>
      <c r="C1858" s="29"/>
      <c r="E1858" s="30"/>
      <c r="F1858" s="30"/>
      <c r="G1858" s="363"/>
      <c r="H1858" s="363"/>
      <c r="I1858" s="363"/>
      <c r="J1858" s="363"/>
      <c r="K1858" s="364"/>
      <c r="L1858" s="364"/>
      <c r="M1858" s="18"/>
      <c r="N1858" s="18"/>
      <c r="O1858" s="98"/>
      <c r="P1858" s="99"/>
    </row>
    <row r="1859" spans="2:16" s="146" customFormat="1" ht="18" hidden="1" customHeight="1" x14ac:dyDescent="0.25">
      <c r="C1859" s="29"/>
      <c r="D1859" s="30"/>
      <c r="E1859" s="30"/>
      <c r="F1859" s="30"/>
      <c r="G1859" s="363"/>
      <c r="H1859" s="363"/>
      <c r="I1859" s="363"/>
      <c r="J1859" s="363"/>
      <c r="K1859" s="364"/>
      <c r="L1859" s="364"/>
      <c r="M1859" s="18"/>
      <c r="N1859" s="18"/>
      <c r="O1859" s="98"/>
      <c r="P1859" s="99"/>
    </row>
    <row r="1860" spans="2:16" s="146" customFormat="1" ht="18" hidden="1" customHeight="1" x14ac:dyDescent="0.25">
      <c r="C1860" s="29"/>
      <c r="D1860" s="30"/>
      <c r="E1860" s="30"/>
      <c r="F1860" s="30"/>
      <c r="G1860" s="363"/>
      <c r="H1860" s="363"/>
      <c r="I1860" s="363"/>
      <c r="J1860" s="363"/>
      <c r="K1860" s="364"/>
      <c r="L1860" s="364"/>
      <c r="M1860" s="18"/>
      <c r="N1860" s="18"/>
      <c r="O1860" s="98"/>
      <c r="P1860" s="99"/>
    </row>
    <row r="1861" spans="2:16" s="146" customFormat="1" ht="9.9499999999999993" hidden="1" customHeight="1" thickBot="1" x14ac:dyDescent="0.3">
      <c r="C1861" s="21"/>
      <c r="D1861" s="22"/>
      <c r="E1861" s="22"/>
      <c r="F1861" s="22"/>
      <c r="G1861" s="27"/>
      <c r="H1861" s="27"/>
      <c r="I1861" s="27"/>
      <c r="J1861" s="27"/>
      <c r="K1861" s="28"/>
      <c r="L1861" s="28"/>
      <c r="M1861" s="22"/>
      <c r="N1861" s="22"/>
      <c r="O1861" s="100"/>
      <c r="P1861" s="101"/>
    </row>
    <row r="1862" spans="2:16" s="146" customFormat="1" ht="18" hidden="1" customHeight="1" x14ac:dyDescent="0.25">
      <c r="C1862" s="20" t="s">
        <v>34</v>
      </c>
      <c r="D1862" s="1052" t="s">
        <v>35</v>
      </c>
      <c r="E1862" s="1053"/>
      <c r="F1862" s="1053"/>
      <c r="G1862" s="1053"/>
      <c r="H1862" s="1053"/>
      <c r="I1862" s="1053"/>
      <c r="J1862" s="1053"/>
      <c r="K1862" s="1053"/>
      <c r="L1862" s="1053"/>
      <c r="M1862" s="1054"/>
      <c r="N1862" s="145" t="s">
        <v>0</v>
      </c>
      <c r="O1862" s="1107" t="s">
        <v>4</v>
      </c>
      <c r="P1862" s="1108"/>
    </row>
    <row r="1863" spans="2:16" s="146" customFormat="1" ht="69.95" hidden="1" customHeight="1" thickBot="1" x14ac:dyDescent="0.3">
      <c r="C1863" s="85" t="s">
        <v>273</v>
      </c>
      <c r="D1863" s="1070" t="str">
        <f>VLOOKUP(C1863,'BM DETALHADO'!$B$13:$D$126,2,FALSE)</f>
        <v>LIMPEZA FINAL PARA ENTREGA DA OBRA</v>
      </c>
      <c r="E1863" s="1071"/>
      <c r="F1863" s="1071"/>
      <c r="G1863" s="1071"/>
      <c r="H1863" s="1071"/>
      <c r="I1863" s="1071"/>
      <c r="J1863" s="1071"/>
      <c r="K1863" s="1071"/>
      <c r="L1863" s="1071"/>
      <c r="M1863" s="1072"/>
      <c r="N1863" s="19" t="str">
        <f>VLOOKUP(C1863,'BM DETALHADO'!$B$13:$D$126,3,FALSE)</f>
        <v>M2</v>
      </c>
      <c r="O1863" s="1109"/>
      <c r="P1863" s="1187"/>
    </row>
    <row r="1864" spans="2:16" s="146" customFormat="1" ht="9.9499999999999993" hidden="1" customHeight="1" x14ac:dyDescent="0.25">
      <c r="C1864" s="77"/>
      <c r="D1864" s="78"/>
      <c r="E1864" s="79"/>
      <c r="F1864" s="79"/>
      <c r="G1864" s="79"/>
      <c r="H1864" s="79"/>
      <c r="I1864" s="79"/>
      <c r="J1864" s="79"/>
      <c r="K1864" s="79"/>
      <c r="L1864" s="79"/>
      <c r="M1864" s="79"/>
      <c r="N1864" s="79"/>
      <c r="O1864" s="91"/>
      <c r="P1864" s="92"/>
    </row>
    <row r="1865" spans="2:16" s="146" customFormat="1" ht="18" hidden="1" customHeight="1" x14ac:dyDescent="0.25">
      <c r="C1865" s="1173"/>
      <c r="D1865" s="1174"/>
      <c r="E1865" s="1174"/>
      <c r="F1865" s="1174"/>
      <c r="G1865" s="1174"/>
      <c r="H1865" s="1174"/>
      <c r="I1865" s="1174"/>
      <c r="J1865" s="1174"/>
      <c r="K1865" s="1174"/>
      <c r="L1865" s="1174"/>
      <c r="M1865" s="1174"/>
      <c r="N1865" s="1174"/>
      <c r="O1865" s="1174"/>
      <c r="P1865" s="1175"/>
    </row>
    <row r="1866" spans="2:16" s="146" customFormat="1" ht="18" hidden="1" customHeight="1" x14ac:dyDescent="0.25">
      <c r="C1866" s="1186"/>
      <c r="D1866" s="1037"/>
      <c r="E1866" s="1037"/>
      <c r="F1866" s="1037"/>
      <c r="G1866" s="308"/>
      <c r="H1866" s="219"/>
      <c r="I1866" s="1037"/>
      <c r="J1866" s="1037"/>
      <c r="K1866" s="308"/>
      <c r="L1866" s="308"/>
      <c r="M1866" s="308"/>
      <c r="N1866" s="309"/>
      <c r="O1866" s="94"/>
      <c r="P1866" s="93"/>
    </row>
    <row r="1867" spans="2:16" s="146" customFormat="1" ht="18" hidden="1" customHeight="1" x14ac:dyDescent="0.25">
      <c r="C1867" s="1148"/>
      <c r="D1867" s="1040"/>
      <c r="E1867" s="1291"/>
      <c r="F1867" s="1291"/>
      <c r="G1867" s="307"/>
      <c r="H1867" s="1282"/>
      <c r="I1867" s="1282"/>
      <c r="J1867" s="1282"/>
      <c r="K1867" s="1282"/>
      <c r="L1867" s="1282"/>
      <c r="M1867" s="1291"/>
      <c r="N1867" s="214"/>
      <c r="O1867" s="169"/>
      <c r="P1867" s="93"/>
    </row>
    <row r="1868" spans="2:16" s="146" customFormat="1" ht="18" hidden="1" customHeight="1" x14ac:dyDescent="0.25">
      <c r="C1868" s="1148"/>
      <c r="D1868" s="1040"/>
      <c r="E1868" s="1291"/>
      <c r="F1868" s="1291"/>
      <c r="G1868" s="307"/>
      <c r="H1868" s="1282"/>
      <c r="I1868" s="1282"/>
      <c r="J1868" s="1282"/>
      <c r="K1868" s="1282"/>
      <c r="L1868" s="1282"/>
      <c r="M1868" s="1291"/>
      <c r="N1868" s="212"/>
      <c r="O1868" s="169"/>
      <c r="P1868" s="93"/>
    </row>
    <row r="1869" spans="2:16" s="146" customFormat="1" ht="18" hidden="1" customHeight="1" x14ac:dyDescent="0.25">
      <c r="C1869" s="1341"/>
      <c r="D1869" s="1342"/>
      <c r="E1869" s="1343"/>
      <c r="F1869" s="1343"/>
      <c r="G1869" s="310"/>
      <c r="H1869" s="211"/>
      <c r="I1869" s="1344"/>
      <c r="J1869" s="1344"/>
      <c r="K1869" s="216"/>
      <c r="L1869" s="212"/>
      <c r="M1869" s="252"/>
      <c r="N1869" s="252"/>
      <c r="O1869" s="169"/>
      <c r="P1869" s="93"/>
    </row>
    <row r="1870" spans="2:16" s="146" customFormat="1" ht="18" hidden="1" customHeight="1" x14ac:dyDescent="0.25">
      <c r="C1870" s="1148"/>
      <c r="D1870" s="1040"/>
      <c r="E1870" s="296"/>
      <c r="F1870" s="296"/>
      <c r="G1870" s="296"/>
      <c r="H1870" s="211"/>
      <c r="I1870" s="216"/>
      <c r="J1870" s="215"/>
      <c r="K1870" s="216"/>
      <c r="L1870" s="212"/>
      <c r="M1870" s="212"/>
      <c r="N1870" s="212"/>
      <c r="O1870" s="169"/>
      <c r="P1870" s="93"/>
    </row>
    <row r="1871" spans="2:16" s="146" customFormat="1" ht="18" hidden="1" customHeight="1" x14ac:dyDescent="0.25">
      <c r="C1871" s="1148"/>
      <c r="D1871" s="1040"/>
      <c r="E1871" s="296"/>
      <c r="F1871" s="296"/>
      <c r="G1871" s="296"/>
      <c r="H1871" s="211"/>
      <c r="I1871" s="1166" t="s">
        <v>326</v>
      </c>
      <c r="J1871" s="1167"/>
      <c r="K1871" s="1167"/>
      <c r="L1871" s="1167"/>
      <c r="M1871" s="1167"/>
      <c r="N1871" s="1167"/>
      <c r="O1871" s="1167"/>
      <c r="P1871" s="1168"/>
    </row>
    <row r="1872" spans="2:16" s="146" customFormat="1" ht="18" hidden="1" customHeight="1" x14ac:dyDescent="0.25">
      <c r="C1872" s="1148"/>
      <c r="D1872" s="1040"/>
      <c r="E1872" s="296"/>
      <c r="F1872" s="296"/>
      <c r="G1872" s="296"/>
      <c r="H1872" s="211"/>
      <c r="I1872" s="1169"/>
      <c r="J1872" s="1037"/>
      <c r="K1872" s="1037"/>
      <c r="L1872" s="1037"/>
      <c r="M1872" s="1037"/>
      <c r="N1872" s="1037"/>
      <c r="O1872" s="1037"/>
      <c r="P1872" s="1038"/>
    </row>
    <row r="1873" spans="2:16" s="146" customFormat="1" ht="18" hidden="1" customHeight="1" x14ac:dyDescent="0.25">
      <c r="C1873" s="1148"/>
      <c r="D1873" s="1040"/>
      <c r="E1873" s="296"/>
      <c r="F1873" s="296"/>
      <c r="G1873" s="296"/>
      <c r="H1873" s="211"/>
      <c r="I1873" s="1169"/>
      <c r="J1873" s="1037"/>
      <c r="K1873" s="1037"/>
      <c r="L1873" s="1037"/>
      <c r="M1873" s="1037"/>
      <c r="N1873" s="1037"/>
      <c r="O1873" s="1037"/>
      <c r="P1873" s="1038"/>
    </row>
    <row r="1874" spans="2:16" s="146" customFormat="1" ht="18" hidden="1" customHeight="1" x14ac:dyDescent="0.25">
      <c r="C1874" s="1148"/>
      <c r="D1874" s="1040"/>
      <c r="E1874" s="296"/>
      <c r="F1874" s="296"/>
      <c r="G1874" s="296"/>
      <c r="H1874" s="211"/>
      <c r="I1874" s="1169"/>
      <c r="J1874" s="1037"/>
      <c r="K1874" s="1037"/>
      <c r="L1874" s="1037"/>
      <c r="M1874" s="1037"/>
      <c r="N1874" s="1037"/>
      <c r="O1874" s="1037"/>
      <c r="P1874" s="1038"/>
    </row>
    <row r="1875" spans="2:16" s="146" customFormat="1" ht="18" hidden="1" customHeight="1" x14ac:dyDescent="0.25">
      <c r="C1875" s="1148"/>
      <c r="D1875" s="1040"/>
      <c r="E1875" s="296"/>
      <c r="F1875" s="296"/>
      <c r="G1875" s="296"/>
      <c r="H1875" s="211"/>
      <c r="I1875" s="1169"/>
      <c r="J1875" s="1037"/>
      <c r="K1875" s="1037"/>
      <c r="L1875" s="1037"/>
      <c r="M1875" s="1037"/>
      <c r="N1875" s="1037"/>
      <c r="O1875" s="1037"/>
      <c r="P1875" s="1038"/>
    </row>
    <row r="1876" spans="2:16" s="146" customFormat="1" ht="18" hidden="1" customHeight="1" x14ac:dyDescent="0.25">
      <c r="C1876" s="1148"/>
      <c r="D1876" s="1040"/>
      <c r="E1876" s="296"/>
      <c r="F1876" s="296"/>
      <c r="G1876" s="296"/>
      <c r="H1876" s="211"/>
      <c r="I1876" s="1170"/>
      <c r="J1876" s="1171"/>
      <c r="K1876" s="1171"/>
      <c r="L1876" s="1171"/>
      <c r="M1876" s="1171"/>
      <c r="N1876" s="1171"/>
      <c r="O1876" s="1171"/>
      <c r="P1876" s="1172"/>
    </row>
    <row r="1877" spans="2:16" s="146" customFormat="1" ht="9.9499999999999993" hidden="1" customHeight="1" thickBot="1" x14ac:dyDescent="0.3">
      <c r="C1877" s="1148"/>
      <c r="D1877" s="1040"/>
      <c r="E1877" s="296"/>
      <c r="F1877" s="296"/>
      <c r="G1877" s="296"/>
      <c r="H1877" s="211"/>
      <c r="I1877" s="221"/>
      <c r="J1877" s="221"/>
      <c r="K1877" s="256"/>
      <c r="L1877" s="222"/>
      <c r="M1877" s="256"/>
      <c r="N1877" s="220"/>
      <c r="O1877" s="96"/>
      <c r="P1877" s="97"/>
    </row>
    <row r="1878" spans="2:16" s="146" customFormat="1" ht="18" hidden="1" customHeight="1" x14ac:dyDescent="0.25">
      <c r="B1878" s="31" t="s">
        <v>34</v>
      </c>
      <c r="C1878" s="29"/>
      <c r="E1878" s="30"/>
      <c r="F1878" s="30"/>
      <c r="G1878" s="1041" t="s">
        <v>343</v>
      </c>
      <c r="H1878" s="1042"/>
      <c r="I1878" s="1042"/>
      <c r="J1878" s="1043"/>
      <c r="K1878" s="1085">
        <f>'[26]MEMÓRIA DE CÁLCULO'!$K$1954</f>
        <v>760.13</v>
      </c>
      <c r="L1878" s="1086"/>
      <c r="M1878" s="18"/>
      <c r="N1878" s="18"/>
      <c r="O1878" s="98"/>
      <c r="P1878" s="99"/>
    </row>
    <row r="1879" spans="2:16" s="146" customFormat="1" ht="18" hidden="1" customHeight="1" x14ac:dyDescent="0.25">
      <c r="B1879" s="31" t="str">
        <f>C1863</f>
        <v>8.6</v>
      </c>
      <c r="C1879" s="29"/>
      <c r="E1879" s="30"/>
      <c r="F1879" s="30"/>
      <c r="G1879" s="1082" t="s">
        <v>344</v>
      </c>
      <c r="H1879" s="1083"/>
      <c r="I1879" s="1083"/>
      <c r="J1879" s="1084"/>
      <c r="K1879" s="1075">
        <f>K1878+O1861</f>
        <v>760.13</v>
      </c>
      <c r="L1879" s="1076"/>
      <c r="M1879" s="18"/>
      <c r="N1879" s="18"/>
      <c r="O1879" s="98"/>
      <c r="P1879" s="99"/>
    </row>
    <row r="1880" spans="2:16" s="146" customFormat="1" ht="18" hidden="1" customHeight="1" x14ac:dyDescent="0.25">
      <c r="C1880" s="29"/>
      <c r="D1880" s="30"/>
      <c r="E1880" s="30"/>
      <c r="F1880" s="30"/>
      <c r="G1880" s="1082" t="s">
        <v>345</v>
      </c>
      <c r="H1880" s="1083"/>
      <c r="I1880" s="1083"/>
      <c r="J1880" s="1084"/>
      <c r="K1880" s="1075">
        <f>'BM DETALHADO'!E123</f>
        <v>848.37</v>
      </c>
      <c r="L1880" s="1076"/>
      <c r="M1880" s="18"/>
      <c r="N1880" s="18"/>
      <c r="O1880" s="98"/>
      <c r="P1880" s="99"/>
    </row>
    <row r="1881" spans="2:16" s="146" customFormat="1" ht="18" hidden="1" customHeight="1" thickBot="1" x14ac:dyDescent="0.3">
      <c r="C1881" s="29"/>
      <c r="D1881" s="30"/>
      <c r="E1881" s="30"/>
      <c r="F1881" s="30"/>
      <c r="G1881" s="1077" t="s">
        <v>346</v>
      </c>
      <c r="H1881" s="1078"/>
      <c r="I1881" s="1078"/>
      <c r="J1881" s="1079"/>
      <c r="K1881" s="1068">
        <f>K1880-K1879</f>
        <v>88.240000000000009</v>
      </c>
      <c r="L1881" s="1069"/>
      <c r="M1881" s="18"/>
      <c r="N1881" s="18"/>
      <c r="O1881" s="98"/>
      <c r="P1881" s="99"/>
    </row>
    <row r="1882" spans="2:16" s="146" customFormat="1" ht="9.9499999999999993" hidden="1" customHeight="1" thickBot="1" x14ac:dyDescent="0.3">
      <c r="C1882" s="21"/>
      <c r="D1882" s="22"/>
      <c r="E1882" s="22"/>
      <c r="F1882" s="22"/>
      <c r="G1882" s="27"/>
      <c r="H1882" s="27"/>
      <c r="I1882" s="27"/>
      <c r="J1882" s="27"/>
      <c r="K1882" s="28"/>
      <c r="L1882" s="28"/>
      <c r="M1882" s="22"/>
      <c r="N1882" s="22"/>
      <c r="O1882" s="100"/>
      <c r="P1882" s="101"/>
    </row>
    <row r="1883" spans="2:16" s="146" customFormat="1" ht="18" hidden="1" customHeight="1" x14ac:dyDescent="0.25">
      <c r="C1883" s="20" t="s">
        <v>34</v>
      </c>
      <c r="D1883" s="1052" t="s">
        <v>35</v>
      </c>
      <c r="E1883" s="1053"/>
      <c r="F1883" s="1053"/>
      <c r="G1883" s="1053"/>
      <c r="H1883" s="1053"/>
      <c r="I1883" s="1053"/>
      <c r="J1883" s="1053"/>
      <c r="K1883" s="1053"/>
      <c r="L1883" s="1053"/>
      <c r="M1883" s="1054"/>
      <c r="N1883" s="145" t="s">
        <v>0</v>
      </c>
      <c r="O1883" s="1107" t="s">
        <v>4</v>
      </c>
      <c r="P1883" s="1108"/>
    </row>
    <row r="1884" spans="2:16" s="146" customFormat="1" ht="69.95" hidden="1" customHeight="1" thickBot="1" x14ac:dyDescent="0.3">
      <c r="C1884" s="85" t="s">
        <v>275</v>
      </c>
      <c r="D1884" s="1070" t="str">
        <f>VLOOKUP(C1884,'BM DETALHADO'!$B$13:$D$126,2,FALSE)</f>
        <v>ESTUDO E LAUDO DE IMPACTO SOBRE A VIZINHANÇA</v>
      </c>
      <c r="E1884" s="1071"/>
      <c r="F1884" s="1071"/>
      <c r="G1884" s="1071"/>
      <c r="H1884" s="1071"/>
      <c r="I1884" s="1071"/>
      <c r="J1884" s="1071"/>
      <c r="K1884" s="1071"/>
      <c r="L1884" s="1071"/>
      <c r="M1884" s="1072"/>
      <c r="N1884" s="19" t="str">
        <f>VLOOKUP(C1884,'BM DETALHADO'!$B$13:$D$126,3,FALSE)</f>
        <v>UNID</v>
      </c>
      <c r="O1884" s="1109"/>
      <c r="P1884" s="1110"/>
    </row>
    <row r="1885" spans="2:16" s="146" customFormat="1" ht="9.9499999999999993" hidden="1" customHeight="1" x14ac:dyDescent="0.25">
      <c r="C1885" s="77"/>
      <c r="D1885" s="78"/>
      <c r="E1885" s="79"/>
      <c r="F1885" s="79"/>
      <c r="G1885" s="79"/>
      <c r="H1885" s="79"/>
      <c r="I1885" s="79"/>
      <c r="J1885" s="79"/>
      <c r="K1885" s="79"/>
      <c r="L1885" s="79"/>
      <c r="M1885" s="79"/>
      <c r="N1885" s="79"/>
      <c r="O1885" s="91"/>
      <c r="P1885" s="92"/>
    </row>
    <row r="1886" spans="2:16" s="146" customFormat="1" ht="18" hidden="1" customHeight="1" x14ac:dyDescent="0.25">
      <c r="C1886" s="336"/>
      <c r="D1886" s="81"/>
      <c r="E1886" s="81"/>
      <c r="F1886" s="81"/>
      <c r="G1886" s="81"/>
      <c r="H1886" s="330"/>
      <c r="I1886" s="344"/>
      <c r="J1886" s="339"/>
      <c r="K1886" s="344"/>
      <c r="L1886" s="339"/>
      <c r="M1886" s="169"/>
      <c r="N1886" s="169"/>
      <c r="O1886" s="343"/>
      <c r="P1886" s="93"/>
    </row>
    <row r="1887" spans="2:16" s="146" customFormat="1" ht="18" hidden="1" customHeight="1" x14ac:dyDescent="0.25">
      <c r="C1887" s="336"/>
      <c r="D1887" s="370"/>
      <c r="E1887" s="370"/>
      <c r="F1887" s="370"/>
      <c r="G1887" s="179"/>
      <c r="H1887" s="178"/>
      <c r="I1887" s="176"/>
      <c r="J1887" s="330"/>
      <c r="K1887" s="330"/>
      <c r="L1887" s="330"/>
      <c r="M1887" s="330"/>
      <c r="N1887" s="330"/>
      <c r="O1887" s="94"/>
      <c r="P1887" s="93"/>
    </row>
    <row r="1888" spans="2:16" s="146" customFormat="1" ht="18" hidden="1" customHeight="1" x14ac:dyDescent="0.25">
      <c r="C1888" s="202"/>
      <c r="D1888" s="81"/>
      <c r="E1888" s="81"/>
      <c r="F1888" s="81"/>
      <c r="G1888" s="81"/>
      <c r="H1888" s="81"/>
      <c r="I1888" s="167"/>
      <c r="J1888" s="168"/>
      <c r="K1888" s="167"/>
      <c r="L1888" s="168"/>
      <c r="M1888" s="169"/>
      <c r="N1888" s="169"/>
      <c r="O1888" s="169"/>
      <c r="P1888" s="93"/>
    </row>
    <row r="1889" spans="2:16" s="146" customFormat="1" ht="18" hidden="1" customHeight="1" x14ac:dyDescent="0.25">
      <c r="C1889" s="202"/>
      <c r="D1889" s="81"/>
      <c r="E1889" s="81"/>
      <c r="F1889" s="81"/>
      <c r="G1889" s="81"/>
      <c r="H1889" s="81"/>
      <c r="I1889" s="167"/>
      <c r="J1889" s="168"/>
      <c r="K1889" s="167"/>
      <c r="L1889" s="168"/>
      <c r="M1889" s="169"/>
      <c r="N1889" s="169"/>
      <c r="O1889" s="169"/>
      <c r="P1889" s="93"/>
    </row>
    <row r="1890" spans="2:16" s="146" customFormat="1" ht="18" hidden="1" customHeight="1" x14ac:dyDescent="0.25">
      <c r="C1890" s="202"/>
      <c r="D1890" s="81"/>
      <c r="E1890" s="81"/>
      <c r="F1890" s="81"/>
      <c r="G1890" s="81"/>
      <c r="H1890" s="81"/>
      <c r="I1890" s="167"/>
      <c r="J1890" s="168"/>
      <c r="K1890" s="167"/>
      <c r="L1890" s="168"/>
      <c r="M1890" s="169"/>
      <c r="N1890" s="169"/>
      <c r="O1890" s="169"/>
      <c r="P1890" s="93"/>
    </row>
    <row r="1891" spans="2:16" s="146" customFormat="1" ht="18" hidden="1" customHeight="1" x14ac:dyDescent="0.25">
      <c r="C1891" s="202"/>
      <c r="D1891" s="81"/>
      <c r="E1891" s="81"/>
      <c r="F1891" s="81"/>
      <c r="G1891" s="81"/>
      <c r="H1891" s="81"/>
      <c r="I1891" s="167"/>
      <c r="J1891" s="168"/>
      <c r="K1891" s="167"/>
      <c r="L1891" s="168"/>
      <c r="M1891" s="169"/>
      <c r="N1891" s="169"/>
      <c r="O1891" s="169"/>
      <c r="P1891" s="93"/>
    </row>
    <row r="1892" spans="2:16" s="146" customFormat="1" ht="18" hidden="1" customHeight="1" x14ac:dyDescent="0.25">
      <c r="C1892" s="202"/>
      <c r="D1892" s="81"/>
      <c r="E1892" s="81"/>
      <c r="F1892" s="81"/>
      <c r="G1892" s="81"/>
      <c r="H1892" s="81"/>
      <c r="I1892" s="167"/>
      <c r="J1892" s="168"/>
      <c r="K1892" s="167"/>
      <c r="L1892" s="168"/>
      <c r="M1892" s="169"/>
      <c r="N1892" s="169"/>
      <c r="O1892" s="169"/>
      <c r="P1892" s="93"/>
    </row>
    <row r="1893" spans="2:16" s="146" customFormat="1" ht="18" hidden="1" customHeight="1" x14ac:dyDescent="0.25">
      <c r="C1893" s="80"/>
      <c r="D1893" s="81"/>
      <c r="E1893" s="330"/>
      <c r="F1893" s="330"/>
      <c r="G1893" s="330"/>
      <c r="H1893" s="330"/>
      <c r="I1893" s="330"/>
      <c r="J1893" s="330"/>
      <c r="K1893" s="330"/>
      <c r="L1893" s="330"/>
      <c r="M1893" s="330"/>
      <c r="N1893" s="330"/>
      <c r="O1893" s="94"/>
      <c r="P1893" s="93"/>
    </row>
    <row r="1894" spans="2:16" s="146" customFormat="1" ht="18" hidden="1" customHeight="1" x14ac:dyDescent="0.25">
      <c r="C1894" s="80"/>
      <c r="D1894" s="180"/>
      <c r="E1894" s="180"/>
      <c r="F1894" s="180"/>
      <c r="G1894" s="180"/>
      <c r="H1894" s="180"/>
      <c r="I1894" s="180"/>
      <c r="J1894" s="180"/>
      <c r="K1894" s="180"/>
      <c r="L1894" s="328"/>
      <c r="M1894" s="181"/>
      <c r="N1894" s="182"/>
      <c r="O1894" s="95"/>
      <c r="P1894" s="93"/>
    </row>
    <row r="1895" spans="2:16" s="146" customFormat="1" ht="18" hidden="1" customHeight="1" x14ac:dyDescent="0.25">
      <c r="C1895" s="80"/>
      <c r="D1895" s="331"/>
      <c r="E1895" s="331"/>
      <c r="F1895" s="331"/>
      <c r="G1895" s="331"/>
      <c r="H1895" s="331"/>
      <c r="I1895" s="331"/>
      <c r="J1895" s="331"/>
      <c r="K1895" s="331"/>
      <c r="L1895" s="328"/>
      <c r="M1895" s="332"/>
      <c r="N1895" s="328"/>
      <c r="O1895" s="95"/>
      <c r="P1895" s="93"/>
    </row>
    <row r="1896" spans="2:16" s="146" customFormat="1" ht="18" hidden="1" customHeight="1" x14ac:dyDescent="0.25">
      <c r="C1896" s="80"/>
      <c r="D1896" s="331"/>
      <c r="E1896" s="331"/>
      <c r="F1896" s="331"/>
      <c r="G1896" s="331"/>
      <c r="H1896" s="331"/>
      <c r="I1896" s="331"/>
      <c r="J1896" s="331"/>
      <c r="K1896" s="331"/>
      <c r="L1896" s="328"/>
      <c r="M1896" s="332"/>
      <c r="N1896" s="328"/>
      <c r="O1896" s="95"/>
      <c r="P1896" s="93"/>
    </row>
    <row r="1897" spans="2:16" s="146" customFormat="1" ht="18" hidden="1" customHeight="1" x14ac:dyDescent="0.25">
      <c r="C1897" s="80"/>
      <c r="D1897" s="331"/>
      <c r="E1897" s="331"/>
      <c r="F1897" s="331"/>
      <c r="G1897" s="331"/>
      <c r="H1897" s="331"/>
      <c r="I1897" s="331"/>
      <c r="J1897" s="331"/>
      <c r="K1897" s="331"/>
      <c r="L1897" s="328"/>
      <c r="M1897" s="332"/>
      <c r="N1897" s="328"/>
      <c r="O1897" s="95"/>
      <c r="P1897" s="93"/>
    </row>
    <row r="1898" spans="2:16" s="146" customFormat="1" ht="9.9499999999999993" hidden="1" customHeight="1" thickBot="1" x14ac:dyDescent="0.3">
      <c r="C1898" s="80"/>
      <c r="D1898" s="81"/>
      <c r="E1898" s="81"/>
      <c r="F1898" s="81"/>
      <c r="G1898" s="81"/>
      <c r="H1898" s="81"/>
      <c r="I1898" s="81"/>
      <c r="J1898" s="81"/>
      <c r="K1898" s="81"/>
      <c r="L1898" s="81"/>
      <c r="M1898" s="81"/>
      <c r="N1898" s="81"/>
      <c r="O1898" s="96"/>
      <c r="P1898" s="97"/>
    </row>
    <row r="1899" spans="2:16" s="146" customFormat="1" ht="18" hidden="1" customHeight="1" x14ac:dyDescent="0.25">
      <c r="B1899" s="31" t="s">
        <v>34</v>
      </c>
      <c r="C1899" s="29"/>
      <c r="E1899" s="30"/>
      <c r="F1899" s="30"/>
      <c r="G1899" s="1041" t="s">
        <v>343</v>
      </c>
      <c r="H1899" s="1042"/>
      <c r="I1899" s="1042"/>
      <c r="J1899" s="1043"/>
      <c r="K1899" s="1085">
        <f>1</f>
        <v>1</v>
      </c>
      <c r="L1899" s="1086"/>
      <c r="M1899" s="18"/>
      <c r="N1899" s="18"/>
      <c r="O1899" s="98"/>
      <c r="P1899" s="99"/>
    </row>
    <row r="1900" spans="2:16" s="146" customFormat="1" ht="18" hidden="1" customHeight="1" x14ac:dyDescent="0.25">
      <c r="B1900" s="31" t="str">
        <f>C1884</f>
        <v>8.7</v>
      </c>
      <c r="C1900" s="29"/>
      <c r="E1900" s="30"/>
      <c r="F1900" s="30"/>
      <c r="G1900" s="1082" t="s">
        <v>344</v>
      </c>
      <c r="H1900" s="1083"/>
      <c r="I1900" s="1083"/>
      <c r="J1900" s="1084"/>
      <c r="K1900" s="1075">
        <f>K1899+O1882</f>
        <v>1</v>
      </c>
      <c r="L1900" s="1076"/>
      <c r="M1900" s="18"/>
      <c r="N1900" s="18"/>
      <c r="O1900" s="98"/>
      <c r="P1900" s="99"/>
    </row>
    <row r="1901" spans="2:16" s="146" customFormat="1" ht="18" hidden="1" customHeight="1" x14ac:dyDescent="0.25">
      <c r="C1901" s="29"/>
      <c r="D1901" s="30"/>
      <c r="E1901" s="30"/>
      <c r="F1901" s="30"/>
      <c r="G1901" s="1082" t="s">
        <v>345</v>
      </c>
      <c r="H1901" s="1083"/>
      <c r="I1901" s="1083"/>
      <c r="J1901" s="1084"/>
      <c r="K1901" s="1075">
        <f>'BM DETALHADO'!E124</f>
        <v>1</v>
      </c>
      <c r="L1901" s="1076"/>
      <c r="M1901" s="18"/>
      <c r="N1901" s="18"/>
      <c r="O1901" s="98"/>
      <c r="P1901" s="99"/>
    </row>
    <row r="1902" spans="2:16" s="146" customFormat="1" ht="18" hidden="1" customHeight="1" thickBot="1" x14ac:dyDescent="0.3">
      <c r="C1902" s="29"/>
      <c r="D1902" s="30"/>
      <c r="E1902" s="30"/>
      <c r="F1902" s="30"/>
      <c r="G1902" s="1077" t="s">
        <v>346</v>
      </c>
      <c r="H1902" s="1078"/>
      <c r="I1902" s="1078"/>
      <c r="J1902" s="1079"/>
      <c r="K1902" s="1068">
        <f>K1901-K1900</f>
        <v>0</v>
      </c>
      <c r="L1902" s="1069"/>
      <c r="M1902" s="18"/>
      <c r="N1902" s="18"/>
      <c r="O1902" s="98"/>
      <c r="P1902" s="99"/>
    </row>
    <row r="1903" spans="2:16" s="146" customFormat="1" ht="9.9499999999999993" hidden="1" customHeight="1" thickBot="1" x14ac:dyDescent="0.3">
      <c r="C1903" s="21"/>
      <c r="D1903" s="22"/>
      <c r="E1903" s="22"/>
      <c r="F1903" s="22"/>
      <c r="G1903" s="27"/>
      <c r="H1903" s="27"/>
      <c r="I1903" s="27"/>
      <c r="J1903" s="27"/>
      <c r="K1903" s="28"/>
      <c r="L1903" s="28"/>
      <c r="M1903" s="22"/>
      <c r="N1903" s="22"/>
      <c r="O1903" s="100"/>
      <c r="P1903" s="101"/>
    </row>
    <row r="1904" spans="2:16" s="146" customFormat="1" ht="18" customHeight="1" x14ac:dyDescent="0.25">
      <c r="C1904" s="20" t="s">
        <v>34</v>
      </c>
      <c r="D1904" s="1052" t="s">
        <v>35</v>
      </c>
      <c r="E1904" s="1053"/>
      <c r="F1904" s="1053"/>
      <c r="G1904" s="1053"/>
      <c r="H1904" s="1053"/>
      <c r="I1904" s="1053"/>
      <c r="J1904" s="1053"/>
      <c r="K1904" s="1053"/>
      <c r="L1904" s="1053"/>
      <c r="M1904" s="1054"/>
      <c r="N1904" s="145" t="s">
        <v>0</v>
      </c>
      <c r="O1904" s="1107" t="s">
        <v>4</v>
      </c>
      <c r="P1904" s="1108"/>
    </row>
    <row r="1905" spans="2:18" s="146" customFormat="1" ht="69.95" customHeight="1" thickBot="1" x14ac:dyDescent="0.3">
      <c r="C1905" s="85" t="s">
        <v>277</v>
      </c>
      <c r="D1905" s="1070" t="str">
        <f>VLOOKUP(C1905,'BM DETALHADO'!$B$13:$D$126,2,FALSE)</f>
        <v>CONFORME ACÓRDÃO TCU 2622/2013, LIMITADA À 5% DO VALOR TOTAL DA OBRA</v>
      </c>
      <c r="E1905" s="1071"/>
      <c r="F1905" s="1071"/>
      <c r="G1905" s="1071"/>
      <c r="H1905" s="1071"/>
      <c r="I1905" s="1071"/>
      <c r="J1905" s="1071"/>
      <c r="K1905" s="1071"/>
      <c r="L1905" s="1071"/>
      <c r="M1905" s="1072"/>
      <c r="N1905" s="19" t="str">
        <f>VLOOKUP(C1905,'BM DETALHADO'!$B$13:$D$126,3,FALSE)</f>
        <v>UND</v>
      </c>
      <c r="O1905" s="1109">
        <f>H1914</f>
        <v>1.2238394005726686E-2</v>
      </c>
      <c r="P1905" s="1110"/>
    </row>
    <row r="1906" spans="2:18" s="146" customFormat="1" ht="9.9499999999999993" customHeight="1" x14ac:dyDescent="0.25">
      <c r="C1906" s="77"/>
      <c r="D1906" s="78"/>
      <c r="E1906" s="79"/>
      <c r="F1906" s="79"/>
      <c r="G1906" s="79"/>
      <c r="H1906" s="79"/>
      <c r="I1906" s="79"/>
      <c r="J1906" s="79"/>
      <c r="K1906" s="79"/>
      <c r="L1906" s="79"/>
      <c r="M1906" s="79"/>
      <c r="N1906" s="79"/>
      <c r="O1906" s="91"/>
      <c r="P1906" s="92"/>
    </row>
    <row r="1907" spans="2:18" s="146" customFormat="1" ht="18" customHeight="1" x14ac:dyDescent="0.25">
      <c r="C1907" s="147"/>
      <c r="D1907" s="1274" t="s">
        <v>293</v>
      </c>
      <c r="E1907" s="1274"/>
      <c r="F1907" s="1274"/>
      <c r="G1907" s="1296" t="s">
        <v>290</v>
      </c>
      <c r="H1907" s="1295">
        <f>'BM DETALHADO'!M7</f>
        <v>2197166.2001805101</v>
      </c>
      <c r="I1907" s="1295"/>
      <c r="J1907" s="1296" t="s">
        <v>294</v>
      </c>
      <c r="K1907" s="1295">
        <v>108044.05</v>
      </c>
      <c r="L1907" s="1295"/>
      <c r="M1907" s="1294" t="s">
        <v>290</v>
      </c>
      <c r="N1907" s="1295">
        <f>H1907-K1907</f>
        <v>2089122.15018051</v>
      </c>
      <c r="O1907" s="1295"/>
      <c r="P1907" s="93"/>
    </row>
    <row r="1908" spans="2:18" s="146" customFormat="1" ht="18" customHeight="1" x14ac:dyDescent="0.25">
      <c r="C1908" s="147"/>
      <c r="D1908" s="1275"/>
      <c r="E1908" s="1275"/>
      <c r="F1908" s="1275"/>
      <c r="G1908" s="1297"/>
      <c r="H1908" s="1281"/>
      <c r="I1908" s="1281"/>
      <c r="J1908" s="1297"/>
      <c r="K1908" s="1281"/>
      <c r="L1908" s="1281"/>
      <c r="M1908" s="1290"/>
      <c r="N1908" s="1281"/>
      <c r="O1908" s="1281"/>
      <c r="P1908" s="93"/>
    </row>
    <row r="1909" spans="2:18" s="146" customFormat="1" ht="18" customHeight="1" x14ac:dyDescent="0.25">
      <c r="C1909" s="1183"/>
      <c r="D1909" s="1352" t="s">
        <v>295</v>
      </c>
      <c r="E1909" s="1352"/>
      <c r="F1909" s="1352"/>
      <c r="G1909" s="1338" t="s">
        <v>290</v>
      </c>
      <c r="H1909" s="1280">
        <f>SUM('BM DETALHADO'!I13:I124)/2</f>
        <v>25567.5</v>
      </c>
      <c r="I1909" s="1280"/>
      <c r="J1909" s="1339"/>
      <c r="K1909" s="1280"/>
      <c r="L1909" s="1280"/>
      <c r="M1909" s="1289"/>
      <c r="N1909" s="1280"/>
      <c r="O1909" s="1280"/>
      <c r="P1909" s="93"/>
    </row>
    <row r="1910" spans="2:18" s="146" customFormat="1" ht="18" customHeight="1" x14ac:dyDescent="0.25">
      <c r="C1910" s="1183"/>
      <c r="D1910" s="1275"/>
      <c r="E1910" s="1275"/>
      <c r="F1910" s="1275"/>
      <c r="G1910" s="1297"/>
      <c r="H1910" s="1281"/>
      <c r="I1910" s="1281"/>
      <c r="J1910" s="1340"/>
      <c r="K1910" s="1281"/>
      <c r="L1910" s="1281"/>
      <c r="M1910" s="1290"/>
      <c r="N1910" s="1281"/>
      <c r="O1910" s="1281"/>
      <c r="P1910" s="93"/>
    </row>
    <row r="1911" spans="2:18" s="146" customFormat="1" ht="18" customHeight="1" x14ac:dyDescent="0.25">
      <c r="C1911" s="1183"/>
      <c r="D1911" s="1274" t="s">
        <v>296</v>
      </c>
      <c r="E1911" s="1274"/>
      <c r="F1911" s="1274"/>
      <c r="G1911" s="1296" t="s">
        <v>290</v>
      </c>
      <c r="H1911" s="1295">
        <f>H1909</f>
        <v>25567.5</v>
      </c>
      <c r="I1911" s="1295"/>
      <c r="J1911" s="1350" t="s">
        <v>297</v>
      </c>
      <c r="K1911" s="1295">
        <f>N1907</f>
        <v>2089122.15018051</v>
      </c>
      <c r="L1911" s="1295"/>
      <c r="M1911" s="1294" t="s">
        <v>290</v>
      </c>
      <c r="N1911" s="1349">
        <f>H1911/K1911</f>
        <v>1.2238394005726686E-2</v>
      </c>
      <c r="O1911" s="1349"/>
      <c r="P1911" s="93"/>
    </row>
    <row r="1912" spans="2:18" s="146" customFormat="1" ht="18" customHeight="1" x14ac:dyDescent="0.25">
      <c r="C1912" s="1183"/>
      <c r="D1912" s="1274"/>
      <c r="E1912" s="1274"/>
      <c r="F1912" s="1274"/>
      <c r="G1912" s="1296"/>
      <c r="H1912" s="1295"/>
      <c r="I1912" s="1295"/>
      <c r="J1912" s="1351"/>
      <c r="K1912" s="1295"/>
      <c r="L1912" s="1295"/>
      <c r="M1912" s="1294"/>
      <c r="N1912" s="1349"/>
      <c r="O1912" s="1349"/>
      <c r="P1912" s="93"/>
    </row>
    <row r="1913" spans="2:18" s="146" customFormat="1" ht="18" customHeight="1" x14ac:dyDescent="0.25">
      <c r="C1913" s="1183"/>
      <c r="D1913" s="171"/>
      <c r="E1913" s="171"/>
      <c r="F1913" s="171"/>
      <c r="G1913" s="171"/>
      <c r="H1913" s="171"/>
      <c r="I1913" s="189"/>
      <c r="J1913" s="190"/>
      <c r="K1913" s="189"/>
      <c r="L1913" s="190"/>
      <c r="M1913" s="188"/>
      <c r="N1913" s="188"/>
      <c r="O1913" s="190"/>
      <c r="P1913" s="93"/>
      <c r="R1913" s="660"/>
    </row>
    <row r="1914" spans="2:18" s="146" customFormat="1" ht="18" customHeight="1" x14ac:dyDescent="0.25">
      <c r="C1914" s="80"/>
      <c r="D1914" s="1259" t="s">
        <v>289</v>
      </c>
      <c r="E1914" s="1259"/>
      <c r="F1914" s="1259"/>
      <c r="G1914" s="179" t="s">
        <v>290</v>
      </c>
      <c r="H1914" s="178">
        <f>N1911</f>
        <v>1.2238394005726686E-2</v>
      </c>
      <c r="I1914" s="191" t="s">
        <v>279</v>
      </c>
      <c r="J1914" s="190"/>
      <c r="K1914" s="189"/>
      <c r="L1914" s="190"/>
      <c r="M1914" s="188"/>
      <c r="N1914" s="188"/>
      <c r="O1914" s="190"/>
      <c r="P1914" s="93"/>
    </row>
    <row r="1915" spans="2:18" s="146" customFormat="1" ht="18" customHeight="1" x14ac:dyDescent="0.25">
      <c r="C1915" s="80"/>
      <c r="D1915" s="1278"/>
      <c r="E1915" s="1278"/>
      <c r="F1915" s="1278"/>
      <c r="G1915" s="1278"/>
      <c r="H1915" s="1278"/>
      <c r="I1915" s="1278"/>
      <c r="J1915" s="1278"/>
      <c r="K1915" s="1278"/>
      <c r="L1915" s="150"/>
      <c r="M1915" s="1279"/>
      <c r="N1915" s="1128"/>
      <c r="O1915" s="95"/>
      <c r="P1915" s="93"/>
    </row>
    <row r="1916" spans="2:18" s="146" customFormat="1" ht="18" customHeight="1" x14ac:dyDescent="0.25">
      <c r="C1916" s="80"/>
      <c r="D1916" s="151"/>
      <c r="E1916" s="151"/>
      <c r="F1916" s="151"/>
      <c r="G1916" s="151"/>
      <c r="H1916" s="151"/>
      <c r="I1916" s="151"/>
      <c r="J1916" s="151"/>
      <c r="K1916" s="151"/>
      <c r="L1916" s="150"/>
      <c r="M1916" s="149"/>
      <c r="N1916" s="150"/>
      <c r="O1916" s="95"/>
      <c r="P1916" s="93"/>
    </row>
    <row r="1917" spans="2:18" s="146" customFormat="1" ht="18" customHeight="1" x14ac:dyDescent="0.25">
      <c r="C1917" s="80"/>
      <c r="D1917" s="151"/>
      <c r="E1917" s="151"/>
      <c r="F1917" s="151"/>
      <c r="G1917" s="151"/>
      <c r="H1917" s="151"/>
      <c r="I1917" s="151"/>
      <c r="J1917" s="151"/>
      <c r="K1917" s="151"/>
      <c r="L1917" s="150"/>
      <c r="M1917" s="149"/>
      <c r="N1917" s="150"/>
      <c r="O1917" s="95"/>
      <c r="P1917" s="93"/>
    </row>
    <row r="1918" spans="2:18" s="146" customFormat="1" ht="18" customHeight="1" x14ac:dyDescent="0.25">
      <c r="C1918" s="80"/>
      <c r="D1918" s="151"/>
      <c r="E1918" s="151"/>
      <c r="F1918" s="151"/>
      <c r="G1918" s="151"/>
      <c r="H1918" s="151"/>
      <c r="I1918" s="151"/>
      <c r="J1918" s="151"/>
      <c r="K1918" s="151"/>
      <c r="L1918" s="150"/>
      <c r="M1918" s="149"/>
      <c r="N1918" s="150"/>
      <c r="O1918" s="95"/>
      <c r="P1918" s="93"/>
    </row>
    <row r="1919" spans="2:18" s="146" customFormat="1" ht="9.9499999999999993" customHeight="1" thickBot="1" x14ac:dyDescent="0.3">
      <c r="C1919" s="80"/>
      <c r="D1919" s="81"/>
      <c r="E1919" s="81"/>
      <c r="F1919" s="81"/>
      <c r="G1919" s="81"/>
      <c r="H1919" s="81"/>
      <c r="I1919" s="81"/>
      <c r="J1919" s="81"/>
      <c r="K1919" s="81"/>
      <c r="L1919" s="81"/>
      <c r="M1919" s="81"/>
      <c r="N1919" s="81"/>
      <c r="O1919" s="96"/>
      <c r="P1919" s="97"/>
    </row>
    <row r="1920" spans="2:18" s="146" customFormat="1" ht="18" customHeight="1" x14ac:dyDescent="0.25">
      <c r="B1920" s="31" t="s">
        <v>34</v>
      </c>
      <c r="C1920" s="29"/>
      <c r="E1920" s="30"/>
      <c r="F1920" s="30"/>
      <c r="G1920" s="1041" t="s">
        <v>343</v>
      </c>
      <c r="H1920" s="1042"/>
      <c r="I1920" s="1042"/>
      <c r="J1920" s="1043"/>
      <c r="K1920" s="1085">
        <v>0.44</v>
      </c>
      <c r="L1920" s="1086"/>
      <c r="M1920" s="18"/>
      <c r="N1920" s="18"/>
      <c r="O1920" s="98"/>
      <c r="P1920" s="99"/>
    </row>
    <row r="1921" spans="2:16" s="146" customFormat="1" ht="18" customHeight="1" x14ac:dyDescent="0.25">
      <c r="B1921" s="31" t="str">
        <f>C1905</f>
        <v>9.1</v>
      </c>
      <c r="C1921" s="29"/>
      <c r="E1921" s="30"/>
      <c r="F1921" s="30"/>
      <c r="G1921" s="1082" t="s">
        <v>344</v>
      </c>
      <c r="H1921" s="1083"/>
      <c r="I1921" s="1083"/>
      <c r="J1921" s="1084"/>
      <c r="K1921" s="1075">
        <f>K1920+O1905</f>
        <v>0.45223839400572668</v>
      </c>
      <c r="L1921" s="1076"/>
      <c r="M1921" s="18"/>
      <c r="N1921" s="18"/>
      <c r="O1921" s="98"/>
      <c r="P1921" s="99"/>
    </row>
    <row r="1922" spans="2:16" s="146" customFormat="1" ht="18" customHeight="1" x14ac:dyDescent="0.25">
      <c r="C1922" s="29"/>
      <c r="D1922" s="30"/>
      <c r="E1922" s="30"/>
      <c r="F1922" s="30"/>
      <c r="G1922" s="1082" t="s">
        <v>345</v>
      </c>
      <c r="H1922" s="1083"/>
      <c r="I1922" s="1083"/>
      <c r="J1922" s="1084"/>
      <c r="K1922" s="1075">
        <f>'BM DETALHADO'!E126</f>
        <v>1</v>
      </c>
      <c r="L1922" s="1076"/>
      <c r="M1922" s="18"/>
      <c r="N1922" s="18"/>
      <c r="O1922" s="98"/>
      <c r="P1922" s="99"/>
    </row>
    <row r="1923" spans="2:16" s="146" customFormat="1" ht="18" customHeight="1" thickBot="1" x14ac:dyDescent="0.3">
      <c r="C1923" s="29"/>
      <c r="D1923" s="30"/>
      <c r="E1923" s="30"/>
      <c r="F1923" s="30"/>
      <c r="G1923" s="1077" t="s">
        <v>346</v>
      </c>
      <c r="H1923" s="1078"/>
      <c r="I1923" s="1078"/>
      <c r="J1923" s="1079"/>
      <c r="K1923" s="1068">
        <f>K1922-K1921</f>
        <v>0.54776160599427337</v>
      </c>
      <c r="L1923" s="1069"/>
      <c r="M1923" s="18"/>
      <c r="N1923" s="18"/>
      <c r="O1923" s="98"/>
      <c r="P1923" s="99"/>
    </row>
    <row r="1924" spans="2:16" s="146" customFormat="1" ht="9.9499999999999993" customHeight="1" thickBot="1" x14ac:dyDescent="0.3">
      <c r="C1924" s="21"/>
      <c r="D1924" s="22"/>
      <c r="E1924" s="22"/>
      <c r="F1924" s="22"/>
      <c r="G1924" s="27"/>
      <c r="H1924" s="27"/>
      <c r="I1924" s="27"/>
      <c r="J1924" s="27"/>
      <c r="K1924" s="28"/>
      <c r="L1924" s="28"/>
      <c r="M1924" s="22"/>
      <c r="N1924" s="22"/>
      <c r="O1924" s="100"/>
      <c r="P1924" s="101"/>
    </row>
  </sheetData>
  <mergeCells count="1759">
    <mergeCell ref="D1549:E1549"/>
    <mergeCell ref="D1550:E1550"/>
    <mergeCell ref="D1551:E1551"/>
    <mergeCell ref="D1552:E1553"/>
    <mergeCell ref="F1552:F1553"/>
    <mergeCell ref="G1552:G1553"/>
    <mergeCell ref="H1552:H1553"/>
    <mergeCell ref="D1554:G1554"/>
    <mergeCell ref="D1240:M1240"/>
    <mergeCell ref="K1366:L1366"/>
    <mergeCell ref="G1302:J1302"/>
    <mergeCell ref="K1302:L1302"/>
    <mergeCell ref="D1371:M1371"/>
    <mergeCell ref="D1391:M1391"/>
    <mergeCell ref="D1404:G1404"/>
    <mergeCell ref="D1506:E1506"/>
    <mergeCell ref="D1507:E1507"/>
    <mergeCell ref="G1508:G1509"/>
    <mergeCell ref="H1508:H1509"/>
    <mergeCell ref="I1508:I1509"/>
    <mergeCell ref="D1510:E1511"/>
    <mergeCell ref="F1510:F1511"/>
    <mergeCell ref="G1510:G1511"/>
    <mergeCell ref="H1510:H1511"/>
    <mergeCell ref="I1510:I1511"/>
    <mergeCell ref="D1512:H1512"/>
    <mergeCell ref="G1463:H1463"/>
    <mergeCell ref="G1464:H1464"/>
    <mergeCell ref="G1459:H1459"/>
    <mergeCell ref="G1249:G1250"/>
    <mergeCell ref="H1249:H1250"/>
    <mergeCell ref="J1249:J1250"/>
    <mergeCell ref="K1249:K1250"/>
    <mergeCell ref="L1249:L1250"/>
    <mergeCell ref="M1249:M1250"/>
    <mergeCell ref="N1249:N1250"/>
    <mergeCell ref="F1352:J1352"/>
    <mergeCell ref="M1352:N1352"/>
    <mergeCell ref="M1363:P1368"/>
    <mergeCell ref="M1257:P1264"/>
    <mergeCell ref="D1268:G1268"/>
    <mergeCell ref="D1270:F1270"/>
    <mergeCell ref="G1386:J1386"/>
    <mergeCell ref="K1386:L1386"/>
    <mergeCell ref="G1387:J1387"/>
    <mergeCell ref="K1326:L1326"/>
    <mergeCell ref="G1365:J1365"/>
    <mergeCell ref="K1365:L1365"/>
    <mergeCell ref="G1366:J1366"/>
    <mergeCell ref="K1373:M1373"/>
    <mergeCell ref="K1374:M1375"/>
    <mergeCell ref="M287:P292"/>
    <mergeCell ref="D432:D433"/>
    <mergeCell ref="E432:E433"/>
    <mergeCell ref="F432:F433"/>
    <mergeCell ref="G432:G433"/>
    <mergeCell ref="D730:D731"/>
    <mergeCell ref="E730:F731"/>
    <mergeCell ref="G730:H731"/>
    <mergeCell ref="I730:J731"/>
    <mergeCell ref="D1504:E1504"/>
    <mergeCell ref="D1505:E1505"/>
    <mergeCell ref="K1458:P1458"/>
    <mergeCell ref="N1459:O1459"/>
    <mergeCell ref="N1460:O1460"/>
    <mergeCell ref="G1305:J1305"/>
    <mergeCell ref="K1305:L1305"/>
    <mergeCell ref="D1285:M1285"/>
    <mergeCell ref="O1350:P1350"/>
    <mergeCell ref="M1446:P1454"/>
    <mergeCell ref="D1373:F1373"/>
    <mergeCell ref="G1283:J1283"/>
    <mergeCell ref="K1283:L1283"/>
    <mergeCell ref="O1285:P1285"/>
    <mergeCell ref="O1286:P1286"/>
    <mergeCell ref="J1231:L1231"/>
    <mergeCell ref="F1233:G1233"/>
    <mergeCell ref="H1233:I1233"/>
    <mergeCell ref="J1233:K1233"/>
    <mergeCell ref="D1251:G1251"/>
    <mergeCell ref="J1251:M1251"/>
    <mergeCell ref="F1253:H1253"/>
    <mergeCell ref="J1253:L1253"/>
    <mergeCell ref="M1785:P1792"/>
    <mergeCell ref="M1808:P1814"/>
    <mergeCell ref="J1502:K1502"/>
    <mergeCell ref="J1503:K1503"/>
    <mergeCell ref="J1504:K1504"/>
    <mergeCell ref="J1505:K1505"/>
    <mergeCell ref="J1506:K1506"/>
    <mergeCell ref="J1507:K1507"/>
    <mergeCell ref="J1508:K1509"/>
    <mergeCell ref="J1510:K1511"/>
    <mergeCell ref="O1349:P1349"/>
    <mergeCell ref="G1323:J1323"/>
    <mergeCell ref="G1304:J1304"/>
    <mergeCell ref="O1308:P1308"/>
    <mergeCell ref="D1781:E1781"/>
    <mergeCell ref="M1781:N1781"/>
    <mergeCell ref="G1797:J1797"/>
    <mergeCell ref="D1508:E1509"/>
    <mergeCell ref="F1508:F1509"/>
    <mergeCell ref="D1442:E1442"/>
    <mergeCell ref="D1443:E1443"/>
    <mergeCell ref="I1442:J1442"/>
    <mergeCell ref="I1443:J1443"/>
    <mergeCell ref="O1391:P1391"/>
    <mergeCell ref="D1392:M1392"/>
    <mergeCell ref="O1392:P1392"/>
    <mergeCell ref="L1408:M1408"/>
    <mergeCell ref="H1409:K1409"/>
    <mergeCell ref="L1409:M1409"/>
    <mergeCell ref="G1326:J1326"/>
    <mergeCell ref="K1304:L1304"/>
    <mergeCell ref="O1371:P1371"/>
    <mergeCell ref="O1328:P1328"/>
    <mergeCell ref="O1329:P1329"/>
    <mergeCell ref="D1370:M1370"/>
    <mergeCell ref="O1370:P1370"/>
    <mergeCell ref="D1445:J1445"/>
    <mergeCell ref="K1445:L1445"/>
    <mergeCell ref="G475:J475"/>
    <mergeCell ref="K475:L475"/>
    <mergeCell ref="G476:J476"/>
    <mergeCell ref="K476:L476"/>
    <mergeCell ref="G541:J541"/>
    <mergeCell ref="K541:L541"/>
    <mergeCell ref="G542:J542"/>
    <mergeCell ref="K542:L542"/>
    <mergeCell ref="G543:J543"/>
    <mergeCell ref="K543:L543"/>
    <mergeCell ref="G544:J544"/>
    <mergeCell ref="K544:L544"/>
    <mergeCell ref="D528:J528"/>
    <mergeCell ref="G624:J624"/>
    <mergeCell ref="K624:L624"/>
    <mergeCell ref="K584:L584"/>
    <mergeCell ref="G585:J585"/>
    <mergeCell ref="K585:L585"/>
    <mergeCell ref="G603:J603"/>
    <mergeCell ref="K603:L603"/>
    <mergeCell ref="G604:J604"/>
    <mergeCell ref="O1266:P1266"/>
    <mergeCell ref="K1281:L1281"/>
    <mergeCell ref="G1282:J1282"/>
    <mergeCell ref="K1282:L1282"/>
    <mergeCell ref="D1249:D1250"/>
    <mergeCell ref="K605:L605"/>
    <mergeCell ref="G606:J606"/>
    <mergeCell ref="K606:L606"/>
    <mergeCell ref="G621:J621"/>
    <mergeCell ref="K621:L621"/>
    <mergeCell ref="G622:J622"/>
    <mergeCell ref="K1223:M1223"/>
    <mergeCell ref="O812:P812"/>
    <mergeCell ref="E729:F729"/>
    <mergeCell ref="G729:H729"/>
    <mergeCell ref="I729:J729"/>
    <mergeCell ref="O779:P779"/>
    <mergeCell ref="O780:P780"/>
    <mergeCell ref="O800:P800"/>
    <mergeCell ref="O801:P801"/>
    <mergeCell ref="K1151:L1151"/>
    <mergeCell ref="K1029:L1029"/>
    <mergeCell ref="G1030:J1030"/>
    <mergeCell ref="K1089:L1089"/>
    <mergeCell ref="D1033:M1033"/>
    <mergeCell ref="G1109:J1109"/>
    <mergeCell ref="K1109:L1109"/>
    <mergeCell ref="G1110:J1110"/>
    <mergeCell ref="K1110:L1110"/>
    <mergeCell ref="G1148:J1148"/>
    <mergeCell ref="K1148:L1148"/>
    <mergeCell ref="G1149:J1149"/>
    <mergeCell ref="O1033:P1033"/>
    <mergeCell ref="O1091:P1091"/>
    <mergeCell ref="K1130:L1130"/>
    <mergeCell ref="S1186:U1186"/>
    <mergeCell ref="K1325:L1325"/>
    <mergeCell ref="G1046:J1046"/>
    <mergeCell ref="K1046:L1046"/>
    <mergeCell ref="G1047:J1047"/>
    <mergeCell ref="K1047:L1047"/>
    <mergeCell ref="D1034:M1034"/>
    <mergeCell ref="K1068:L1068"/>
    <mergeCell ref="G1280:J1280"/>
    <mergeCell ref="K1280:L1280"/>
    <mergeCell ref="G1281:J1281"/>
    <mergeCell ref="G1218:J1218"/>
    <mergeCell ref="K1217:L1217"/>
    <mergeCell ref="J1200:N1200"/>
    <mergeCell ref="G1195:J1195"/>
    <mergeCell ref="K1323:L1323"/>
    <mergeCell ref="G1324:J1324"/>
    <mergeCell ref="K1324:L1324"/>
    <mergeCell ref="G1325:J1325"/>
    <mergeCell ref="G1262:J1262"/>
    <mergeCell ref="M1165:P1173"/>
    <mergeCell ref="D1184:G1184"/>
    <mergeCell ref="D1208:G1208"/>
    <mergeCell ref="J1208:M1208"/>
    <mergeCell ref="K1107:L1107"/>
    <mergeCell ref="G1108:J1108"/>
    <mergeCell ref="K1108:L1108"/>
    <mergeCell ref="D1071:M1071"/>
    <mergeCell ref="D1153:M1153"/>
    <mergeCell ref="O1112:P1112"/>
    <mergeCell ref="K1150:L1150"/>
    <mergeCell ref="G1151:J1151"/>
    <mergeCell ref="G486:J486"/>
    <mergeCell ref="K486:L486"/>
    <mergeCell ref="G487:J487"/>
    <mergeCell ref="K487:L487"/>
    <mergeCell ref="G488:J488"/>
    <mergeCell ref="K488:L488"/>
    <mergeCell ref="G489:J489"/>
    <mergeCell ref="D284:I284"/>
    <mergeCell ref="D306:I306"/>
    <mergeCell ref="D327:I327"/>
    <mergeCell ref="G509:J509"/>
    <mergeCell ref="D491:M491"/>
    <mergeCell ref="K510:L510"/>
    <mergeCell ref="G511:J511"/>
    <mergeCell ref="K511:L511"/>
    <mergeCell ref="D317:F317"/>
    <mergeCell ref="G317:H317"/>
    <mergeCell ref="D318:F318"/>
    <mergeCell ref="G318:H318"/>
    <mergeCell ref="D366:I366"/>
    <mergeCell ref="D363:F363"/>
    <mergeCell ref="K442:L442"/>
    <mergeCell ref="G443:J443"/>
    <mergeCell ref="K443:L443"/>
    <mergeCell ref="H413:I413"/>
    <mergeCell ref="D367:I367"/>
    <mergeCell ref="K509:L509"/>
    <mergeCell ref="D362:F362"/>
    <mergeCell ref="G336:J336"/>
    <mergeCell ref="K454:L454"/>
    <mergeCell ref="G462:J462"/>
    <mergeCell ref="K462:L462"/>
    <mergeCell ref="G1086:J1086"/>
    <mergeCell ref="K1086:L1086"/>
    <mergeCell ref="G1087:J1087"/>
    <mergeCell ref="K1087:L1087"/>
    <mergeCell ref="G1088:J1088"/>
    <mergeCell ref="K1088:L1088"/>
    <mergeCell ref="G1089:J1089"/>
    <mergeCell ref="G699:J699"/>
    <mergeCell ref="K699:L699"/>
    <mergeCell ref="K807:L807"/>
    <mergeCell ref="G808:J808"/>
    <mergeCell ref="O932:P932"/>
    <mergeCell ref="K808:L808"/>
    <mergeCell ref="G827:J827"/>
    <mergeCell ref="K827:L827"/>
    <mergeCell ref="G828:J828"/>
    <mergeCell ref="K828:L828"/>
    <mergeCell ref="G829:J829"/>
    <mergeCell ref="K829:L829"/>
    <mergeCell ref="G830:J830"/>
    <mergeCell ref="D758:M758"/>
    <mergeCell ref="O1071:P1071"/>
    <mergeCell ref="D1112:M1112"/>
    <mergeCell ref="O1132:P1132"/>
    <mergeCell ref="G1129:J1129"/>
    <mergeCell ref="D1156:F1156"/>
    <mergeCell ref="D1157:F1157"/>
    <mergeCell ref="G1107:J1107"/>
    <mergeCell ref="D1185:G1185"/>
    <mergeCell ref="D1200:H1200"/>
    <mergeCell ref="D1158:F1158"/>
    <mergeCell ref="K1008:L1008"/>
    <mergeCell ref="G1009:J1009"/>
    <mergeCell ref="K1009:L1009"/>
    <mergeCell ref="G1010:J1010"/>
    <mergeCell ref="K1010:L1010"/>
    <mergeCell ref="D991:M991"/>
    <mergeCell ref="G1029:J1029"/>
    <mergeCell ref="D1037:F1037"/>
    <mergeCell ref="O1049:P1049"/>
    <mergeCell ref="D1050:M1050"/>
    <mergeCell ref="O1050:P1050"/>
    <mergeCell ref="G1028:J1028"/>
    <mergeCell ref="K1028:L1028"/>
    <mergeCell ref="G1193:J1193"/>
    <mergeCell ref="K1030:L1030"/>
    <mergeCell ref="G1031:J1031"/>
    <mergeCell ref="K1031:L1031"/>
    <mergeCell ref="G1044:J1044"/>
    <mergeCell ref="G1127:J1127"/>
    <mergeCell ref="K1127:L1127"/>
    <mergeCell ref="G1128:J1128"/>
    <mergeCell ref="K1128:L1128"/>
    <mergeCell ref="O1013:P1013"/>
    <mergeCell ref="O833:P833"/>
    <mergeCell ref="O850:P850"/>
    <mergeCell ref="D833:M833"/>
    <mergeCell ref="O947:P947"/>
    <mergeCell ref="D948:M948"/>
    <mergeCell ref="O948:P948"/>
    <mergeCell ref="K847:L847"/>
    <mergeCell ref="G845:J845"/>
    <mergeCell ref="K845:L845"/>
    <mergeCell ref="G861:J861"/>
    <mergeCell ref="K987:L987"/>
    <mergeCell ref="D886:M886"/>
    <mergeCell ref="O886:P886"/>
    <mergeCell ref="D931:M931"/>
    <mergeCell ref="G928:J928"/>
    <mergeCell ref="K928:L928"/>
    <mergeCell ref="G929:J929"/>
    <mergeCell ref="K929:L929"/>
    <mergeCell ref="G862:J862"/>
    <mergeCell ref="K944:L944"/>
    <mergeCell ref="D970:M970"/>
    <mergeCell ref="G965:J965"/>
    <mergeCell ref="K965:L965"/>
    <mergeCell ref="G966:J966"/>
    <mergeCell ref="D932:M932"/>
    <mergeCell ref="D947:M947"/>
    <mergeCell ref="O907:P907"/>
    <mergeCell ref="O908:P908"/>
    <mergeCell ref="O992:P992"/>
    <mergeCell ref="D1012:M1012"/>
    <mergeCell ref="O1012:P1012"/>
    <mergeCell ref="O864:P864"/>
    <mergeCell ref="D865:M865"/>
    <mergeCell ref="O865:P865"/>
    <mergeCell ref="O515:P515"/>
    <mergeCell ref="O849:P849"/>
    <mergeCell ref="O931:P931"/>
    <mergeCell ref="D627:M627"/>
    <mergeCell ref="D515:M515"/>
    <mergeCell ref="D626:M626"/>
    <mergeCell ref="D536:M536"/>
    <mergeCell ref="D516:M516"/>
    <mergeCell ref="O516:P516"/>
    <mergeCell ref="K650:L650"/>
    <mergeCell ref="G651:J651"/>
    <mergeCell ref="K651:L651"/>
    <mergeCell ref="G652:J652"/>
    <mergeCell ref="K652:L652"/>
    <mergeCell ref="D681:M681"/>
    <mergeCell ref="O681:P681"/>
    <mergeCell ref="O680:P680"/>
    <mergeCell ref="H715:I715"/>
    <mergeCell ref="G717:J717"/>
    <mergeCell ref="K717:L717"/>
    <mergeCell ref="G718:J718"/>
    <mergeCell ref="K718:L718"/>
    <mergeCell ref="G719:J719"/>
    <mergeCell ref="K719:L719"/>
    <mergeCell ref="G720:J720"/>
    <mergeCell ref="E725:F725"/>
    <mergeCell ref="G725:H725"/>
    <mergeCell ref="I725:J725"/>
    <mergeCell ref="I649:J649"/>
    <mergeCell ref="O759:P759"/>
    <mergeCell ref="D885:M885"/>
    <mergeCell ref="O885:P885"/>
    <mergeCell ref="D372:I372"/>
    <mergeCell ref="D373:I373"/>
    <mergeCell ref="D1241:M1241"/>
    <mergeCell ref="K1172:L1172"/>
    <mergeCell ref="K405:L405"/>
    <mergeCell ref="D406:H406"/>
    <mergeCell ref="D407:H407"/>
    <mergeCell ref="J407:K407"/>
    <mergeCell ref="D469:M469"/>
    <mergeCell ref="G398:J398"/>
    <mergeCell ref="D411:E411"/>
    <mergeCell ref="D480:M480"/>
    <mergeCell ref="D722:M722"/>
    <mergeCell ref="D647:M647"/>
    <mergeCell ref="G1215:J1215"/>
    <mergeCell ref="D1197:M1197"/>
    <mergeCell ref="G1068:J1068"/>
    <mergeCell ref="D1132:M1132"/>
    <mergeCell ref="K1170:L1170"/>
    <mergeCell ref="D1091:M1091"/>
    <mergeCell ref="D1092:M1092"/>
    <mergeCell ref="D1175:M1175"/>
    <mergeCell ref="K1218:L1218"/>
    <mergeCell ref="D800:M800"/>
    <mergeCell ref="I842:J842"/>
    <mergeCell ref="D851:O851"/>
    <mergeCell ref="M405:N405"/>
    <mergeCell ref="I406:J406"/>
    <mergeCell ref="M924:P930"/>
    <mergeCell ref="G451:J451"/>
    <mergeCell ref="K451:L451"/>
    <mergeCell ref="H437:I437"/>
    <mergeCell ref="D1414:M1414"/>
    <mergeCell ref="D1413:M1413"/>
    <mergeCell ref="D1458:I1458"/>
    <mergeCell ref="D812:M812"/>
    <mergeCell ref="D779:M779"/>
    <mergeCell ref="D849:M849"/>
    <mergeCell ref="D850:M850"/>
    <mergeCell ref="K859:L859"/>
    <mergeCell ref="G860:J860"/>
    <mergeCell ref="K860:L860"/>
    <mergeCell ref="G846:J846"/>
    <mergeCell ref="K846:L846"/>
    <mergeCell ref="G847:J847"/>
    <mergeCell ref="K861:L861"/>
    <mergeCell ref="D842:H842"/>
    <mergeCell ref="D780:M780"/>
    <mergeCell ref="D811:M811"/>
    <mergeCell ref="D801:M801"/>
    <mergeCell ref="K720:L720"/>
    <mergeCell ref="G926:J926"/>
    <mergeCell ref="K943:L943"/>
    <mergeCell ref="G944:J944"/>
    <mergeCell ref="K1044:L1044"/>
    <mergeCell ref="K1149:L1149"/>
    <mergeCell ref="D1013:M1013"/>
    <mergeCell ref="G623:J623"/>
    <mergeCell ref="K623:L623"/>
    <mergeCell ref="G1045:J1045"/>
    <mergeCell ref="K1045:L1045"/>
    <mergeCell ref="O1113:P1113"/>
    <mergeCell ref="O1133:P1133"/>
    <mergeCell ref="O1436:P1436"/>
    <mergeCell ref="G1389:J1389"/>
    <mergeCell ref="K1389:L1389"/>
    <mergeCell ref="K1376:M1377"/>
    <mergeCell ref="K1378:M1379"/>
    <mergeCell ref="K1383:M1383"/>
    <mergeCell ref="L1430:M1430"/>
    <mergeCell ref="H1431:K1431"/>
    <mergeCell ref="L1431:M1431"/>
    <mergeCell ref="H1432:K1432"/>
    <mergeCell ref="L1432:M1432"/>
    <mergeCell ref="D1053:F1053"/>
    <mergeCell ref="D1061:F1061"/>
    <mergeCell ref="K1215:L1215"/>
    <mergeCell ref="E1206:E1207"/>
    <mergeCell ref="F1206:F1207"/>
    <mergeCell ref="D1160:F1160"/>
    <mergeCell ref="D1161:F1161"/>
    <mergeCell ref="K1156:L1156"/>
    <mergeCell ref="D1399:F1399"/>
    <mergeCell ref="D1436:M1436"/>
    <mergeCell ref="D1384:F1384"/>
    <mergeCell ref="M1213:P1218"/>
    <mergeCell ref="K1193:L1193"/>
    <mergeCell ref="G1194:J1194"/>
    <mergeCell ref="K1194:L1194"/>
    <mergeCell ref="O1154:P1154"/>
    <mergeCell ref="G1263:J1263"/>
    <mergeCell ref="K1263:L1263"/>
    <mergeCell ref="G1260:J1260"/>
    <mergeCell ref="G97:J97"/>
    <mergeCell ref="K97:L97"/>
    <mergeCell ref="G98:J98"/>
    <mergeCell ref="K98:L98"/>
    <mergeCell ref="G99:J99"/>
    <mergeCell ref="K99:L99"/>
    <mergeCell ref="G202:J202"/>
    <mergeCell ref="K202:L202"/>
    <mergeCell ref="G203:J203"/>
    <mergeCell ref="K203:L203"/>
    <mergeCell ref="K441:L441"/>
    <mergeCell ref="G442:J442"/>
    <mergeCell ref="D229:M229"/>
    <mergeCell ref="G297:H297"/>
    <mergeCell ref="D298:F298"/>
    <mergeCell ref="K356:L356"/>
    <mergeCell ref="G335:J335"/>
    <mergeCell ref="C262:E262"/>
    <mergeCell ref="F262:G262"/>
    <mergeCell ref="D283:I283"/>
    <mergeCell ref="D305:I305"/>
    <mergeCell ref="D326:I326"/>
    <mergeCell ref="D368:I368"/>
    <mergeCell ref="D370:I370"/>
    <mergeCell ref="K267:L267"/>
    <mergeCell ref="D423:M423"/>
    <mergeCell ref="M258:N258"/>
    <mergeCell ref="G363:H363"/>
    <mergeCell ref="G364:H364"/>
    <mergeCell ref="D314:M314"/>
    <mergeCell ref="G276:H276"/>
    <mergeCell ref="D296:F296"/>
    <mergeCell ref="K311:L311"/>
    <mergeCell ref="O293:P293"/>
    <mergeCell ref="D294:M294"/>
    <mergeCell ref="O294:P294"/>
    <mergeCell ref="O314:P314"/>
    <mergeCell ref="D315:M315"/>
    <mergeCell ref="N1911:O1912"/>
    <mergeCell ref="D1911:F1912"/>
    <mergeCell ref="G1911:G1912"/>
    <mergeCell ref="H1911:I1912"/>
    <mergeCell ref="J1911:J1912"/>
    <mergeCell ref="K1911:L1912"/>
    <mergeCell ref="C1873:D1873"/>
    <mergeCell ref="C1909:C1913"/>
    <mergeCell ref="O1884:P1884"/>
    <mergeCell ref="M1911:M1912"/>
    <mergeCell ref="G1899:J1899"/>
    <mergeCell ref="K1899:L1899"/>
    <mergeCell ref="G1900:J1900"/>
    <mergeCell ref="K1900:L1900"/>
    <mergeCell ref="G1901:J1901"/>
    <mergeCell ref="K1901:L1901"/>
    <mergeCell ref="D1631:M1631"/>
    <mergeCell ref="D1221:M1221"/>
    <mergeCell ref="D1049:M1049"/>
    <mergeCell ref="G1367:J1367"/>
    <mergeCell ref="K1367:L1367"/>
    <mergeCell ref="K1907:L1908"/>
    <mergeCell ref="D1909:F1910"/>
    <mergeCell ref="O1307:P1307"/>
    <mergeCell ref="O1241:P1241"/>
    <mergeCell ref="O1240:P1240"/>
    <mergeCell ref="G1909:G1910"/>
    <mergeCell ref="H1909:I1910"/>
    <mergeCell ref="J1909:J1910"/>
    <mergeCell ref="O1478:P1478"/>
    <mergeCell ref="C1869:D1869"/>
    <mergeCell ref="E1866:F1866"/>
    <mergeCell ref="E1867:F1867"/>
    <mergeCell ref="E1868:F1868"/>
    <mergeCell ref="E1869:F1869"/>
    <mergeCell ref="D1802:H1802"/>
    <mergeCell ref="D1804:E1804"/>
    <mergeCell ref="G1804:H1804"/>
    <mergeCell ref="I1869:J1869"/>
    <mergeCell ref="K1881:L1881"/>
    <mergeCell ref="G463:J463"/>
    <mergeCell ref="K463:L463"/>
    <mergeCell ref="G464:J464"/>
    <mergeCell ref="K464:L464"/>
    <mergeCell ref="G465:J465"/>
    <mergeCell ref="K465:L465"/>
    <mergeCell ref="D468:M468"/>
    <mergeCell ref="D546:M546"/>
    <mergeCell ref="D495:F495"/>
    <mergeCell ref="D496:F496"/>
    <mergeCell ref="D497:F497"/>
    <mergeCell ref="O1779:P1779"/>
    <mergeCell ref="O1456:P1456"/>
    <mergeCell ref="D1435:M1435"/>
    <mergeCell ref="O1611:P1611"/>
    <mergeCell ref="D1673:M1673"/>
    <mergeCell ref="O1673:P1673"/>
    <mergeCell ref="D1674:M1674"/>
    <mergeCell ref="O103:P103"/>
    <mergeCell ref="M107:N111"/>
    <mergeCell ref="O107:O111"/>
    <mergeCell ref="M113:N113"/>
    <mergeCell ref="D105:F105"/>
    <mergeCell ref="G298:H298"/>
    <mergeCell ref="J257:P257"/>
    <mergeCell ref="G319:H319"/>
    <mergeCell ref="D321:I321"/>
    <mergeCell ref="C258:E258"/>
    <mergeCell ref="D322:I322"/>
    <mergeCell ref="D323:I323"/>
    <mergeCell ref="D324:I324"/>
    <mergeCell ref="M259:N259"/>
    <mergeCell ref="J260:L260"/>
    <mergeCell ref="M260:N260"/>
    <mergeCell ref="O124:P124"/>
    <mergeCell ref="G310:J310"/>
    <mergeCell ref="K310:L310"/>
    <mergeCell ref="G311:J311"/>
    <mergeCell ref="D274:F274"/>
    <mergeCell ref="G274:H274"/>
    <mergeCell ref="G275:H275"/>
    <mergeCell ref="D276:F276"/>
    <mergeCell ref="C149:C153"/>
    <mergeCell ref="J258:L258"/>
    <mergeCell ref="L107:L111"/>
    <mergeCell ref="D113:K113"/>
    <mergeCell ref="K204:L204"/>
    <mergeCell ref="G163:J163"/>
    <mergeCell ref="G181:J181"/>
    <mergeCell ref="K181:L181"/>
    <mergeCell ref="G362:H362"/>
    <mergeCell ref="D239:K239"/>
    <mergeCell ref="M239:N239"/>
    <mergeCell ref="G357:J357"/>
    <mergeCell ref="K357:L357"/>
    <mergeCell ref="O229:P229"/>
    <mergeCell ref="G223:J223"/>
    <mergeCell ref="K223:L223"/>
    <mergeCell ref="G224:J224"/>
    <mergeCell ref="K224:L224"/>
    <mergeCell ref="G225:J225"/>
    <mergeCell ref="K225:L225"/>
    <mergeCell ref="D280:I280"/>
    <mergeCell ref="D281:I281"/>
    <mergeCell ref="D282:I282"/>
    <mergeCell ref="G265:J265"/>
    <mergeCell ref="K265:L265"/>
    <mergeCell ref="D257:H257"/>
    <mergeCell ref="G266:J266"/>
    <mergeCell ref="D273:I273"/>
    <mergeCell ref="D275:F275"/>
    <mergeCell ref="D278:I278"/>
    <mergeCell ref="D279:I279"/>
    <mergeCell ref="C260:E260"/>
    <mergeCell ref="G247:J247"/>
    <mergeCell ref="O233:O237"/>
    <mergeCell ref="G309:J309"/>
    <mergeCell ref="K309:L309"/>
    <mergeCell ref="M341:N341"/>
    <mergeCell ref="O271:P271"/>
    <mergeCell ref="F258:G258"/>
    <mergeCell ref="F259:G259"/>
    <mergeCell ref="K246:L246"/>
    <mergeCell ref="K252:O252"/>
    <mergeCell ref="K36:L36"/>
    <mergeCell ref="G37:J37"/>
    <mergeCell ref="K37:L37"/>
    <mergeCell ref="D39:M39"/>
    <mergeCell ref="O186:P186"/>
    <mergeCell ref="D187:M187"/>
    <mergeCell ref="O187:P187"/>
    <mergeCell ref="K140:L140"/>
    <mergeCell ref="M105:N105"/>
    <mergeCell ref="G100:J100"/>
    <mergeCell ref="K100:L100"/>
    <mergeCell ref="G183:J183"/>
    <mergeCell ref="K183:L183"/>
    <mergeCell ref="G204:J204"/>
    <mergeCell ref="D124:M124"/>
    <mergeCell ref="O60:P60"/>
    <mergeCell ref="O61:P61"/>
    <mergeCell ref="D103:M103"/>
    <mergeCell ref="O102:P102"/>
    <mergeCell ref="D102:M102"/>
    <mergeCell ref="G141:J141"/>
    <mergeCell ref="K141:L141"/>
    <mergeCell ref="G58:J58"/>
    <mergeCell ref="K58:L58"/>
    <mergeCell ref="G162:J162"/>
    <mergeCell ref="K162:L162"/>
    <mergeCell ref="G245:J245"/>
    <mergeCell ref="K245:L245"/>
    <mergeCell ref="G205:J205"/>
    <mergeCell ref="O228:P228"/>
    <mergeCell ref="C23:C27"/>
    <mergeCell ref="C2:P2"/>
    <mergeCell ref="C4:D4"/>
    <mergeCell ref="M4:N4"/>
    <mergeCell ref="C5:D5"/>
    <mergeCell ref="C7:P7"/>
    <mergeCell ref="C6:P6"/>
    <mergeCell ref="E4:L4"/>
    <mergeCell ref="D9:M9"/>
    <mergeCell ref="K14:L14"/>
    <mergeCell ref="K16:L16"/>
    <mergeCell ref="K15:L15"/>
    <mergeCell ref="G16:J16"/>
    <mergeCell ref="G15:J15"/>
    <mergeCell ref="D18:M18"/>
    <mergeCell ref="O18:P18"/>
    <mergeCell ref="D19:M19"/>
    <mergeCell ref="G13:J13"/>
    <mergeCell ref="K13:L13"/>
    <mergeCell ref="D21:J21"/>
    <mergeCell ref="D22:E22"/>
    <mergeCell ref="F22:G22"/>
    <mergeCell ref="H22:J22"/>
    <mergeCell ref="D23:E23"/>
    <mergeCell ref="F23:G23"/>
    <mergeCell ref="D8:M8"/>
    <mergeCell ref="O8:P8"/>
    <mergeCell ref="O9:P9"/>
    <mergeCell ref="O4:P4"/>
    <mergeCell ref="N5:P5"/>
    <mergeCell ref="I5:J5"/>
    <mergeCell ref="E5:F5"/>
    <mergeCell ref="G5:H5"/>
    <mergeCell ref="K5:M5"/>
    <mergeCell ref="O19:P19"/>
    <mergeCell ref="D145:M145"/>
    <mergeCell ref="O145:P145"/>
    <mergeCell ref="D40:M40"/>
    <mergeCell ref="O40:P40"/>
    <mergeCell ref="G36:J36"/>
    <mergeCell ref="G139:J139"/>
    <mergeCell ref="G78:J78"/>
    <mergeCell ref="K78:L78"/>
    <mergeCell ref="G79:J79"/>
    <mergeCell ref="O39:P39"/>
    <mergeCell ref="G55:J55"/>
    <mergeCell ref="K55:L55"/>
    <mergeCell ref="G56:J56"/>
    <mergeCell ref="K56:L56"/>
    <mergeCell ref="G57:J57"/>
    <mergeCell ref="K35:L35"/>
    <mergeCell ref="G34:J34"/>
    <mergeCell ref="G140:J140"/>
    <mergeCell ref="K139:L139"/>
    <mergeCell ref="D63:F63"/>
    <mergeCell ref="O81:P81"/>
    <mergeCell ref="K34:L34"/>
    <mergeCell ref="G35:J35"/>
    <mergeCell ref="G14:J14"/>
    <mergeCell ref="K142:L142"/>
    <mergeCell ref="D144:M144"/>
    <mergeCell ref="O144:P144"/>
    <mergeCell ref="D81:M81"/>
    <mergeCell ref="G142:J142"/>
    <mergeCell ref="C170:C174"/>
    <mergeCell ref="K163:L163"/>
    <mergeCell ref="G160:J160"/>
    <mergeCell ref="K160:L160"/>
    <mergeCell ref="G161:J161"/>
    <mergeCell ref="K161:L161"/>
    <mergeCell ref="G184:J184"/>
    <mergeCell ref="K184:L184"/>
    <mergeCell ref="D186:M186"/>
    <mergeCell ref="K182:L182"/>
    <mergeCell ref="D165:M165"/>
    <mergeCell ref="K205:L205"/>
    <mergeCell ref="M231:N231"/>
    <mergeCell ref="C233:C237"/>
    <mergeCell ref="D233:G237"/>
    <mergeCell ref="H233:H237"/>
    <mergeCell ref="I233:I237"/>
    <mergeCell ref="J233:J237"/>
    <mergeCell ref="K233:K237"/>
    <mergeCell ref="L233:L237"/>
    <mergeCell ref="D231:F231"/>
    <mergeCell ref="G226:J226"/>
    <mergeCell ref="K226:L226"/>
    <mergeCell ref="D228:M228"/>
    <mergeCell ref="G182:J182"/>
    <mergeCell ref="D359:M359"/>
    <mergeCell ref="D82:M82"/>
    <mergeCell ref="O82:P82"/>
    <mergeCell ref="O123:P123"/>
    <mergeCell ref="D123:M123"/>
    <mergeCell ref="O207:P207"/>
    <mergeCell ref="D208:M208"/>
    <mergeCell ref="O208:P208"/>
    <mergeCell ref="D207:M207"/>
    <mergeCell ref="O315:P315"/>
    <mergeCell ref="D293:M293"/>
    <mergeCell ref="G268:J268"/>
    <mergeCell ref="K268:L268"/>
    <mergeCell ref="D270:M270"/>
    <mergeCell ref="O270:P270"/>
    <mergeCell ref="D271:M271"/>
    <mergeCell ref="D300:I300"/>
    <mergeCell ref="D301:I301"/>
    <mergeCell ref="D302:I302"/>
    <mergeCell ref="D303:I303"/>
    <mergeCell ref="G296:H296"/>
    <mergeCell ref="D297:F297"/>
    <mergeCell ref="M233:N237"/>
    <mergeCell ref="G312:J312"/>
    <mergeCell ref="K312:L312"/>
    <mergeCell ref="O165:P165"/>
    <mergeCell ref="D166:M166"/>
    <mergeCell ref="O166:P166"/>
    <mergeCell ref="D319:F319"/>
    <mergeCell ref="J259:L259"/>
    <mergeCell ref="D252:H252"/>
    <mergeCell ref="D253:E253"/>
    <mergeCell ref="O1674:P1674"/>
    <mergeCell ref="D1652:M1652"/>
    <mergeCell ref="O1652:P1652"/>
    <mergeCell ref="O1760:P1760"/>
    <mergeCell ref="D1715:M1715"/>
    <mergeCell ref="D1757:M1757"/>
    <mergeCell ref="O1694:P1694"/>
    <mergeCell ref="D1695:M1695"/>
    <mergeCell ref="O1695:P1695"/>
    <mergeCell ref="O1545:P1545"/>
    <mergeCell ref="D1478:M1478"/>
    <mergeCell ref="D325:I325"/>
    <mergeCell ref="G333:J333"/>
    <mergeCell ref="O359:P359"/>
    <mergeCell ref="K266:L266"/>
    <mergeCell ref="G267:J267"/>
    <mergeCell ref="J411:K411"/>
    <mergeCell ref="L411:M411"/>
    <mergeCell ref="N411:O411"/>
    <mergeCell ref="D412:E412"/>
    <mergeCell ref="F412:G412"/>
    <mergeCell ref="H412:I412"/>
    <mergeCell ref="D404:H404"/>
    <mergeCell ref="G334:J334"/>
    <mergeCell ref="D339:M339"/>
    <mergeCell ref="O339:P339"/>
    <mergeCell ref="D338:M338"/>
    <mergeCell ref="D349:K349"/>
    <mergeCell ref="M349:N349"/>
    <mergeCell ref="D341:F341"/>
    <mergeCell ref="D364:F364"/>
    <mergeCell ref="D369:I369"/>
    <mergeCell ref="M1909:M1910"/>
    <mergeCell ref="N1909:O1910"/>
    <mergeCell ref="O1862:P1862"/>
    <mergeCell ref="G1878:J1878"/>
    <mergeCell ref="K1878:L1878"/>
    <mergeCell ref="G1879:J1879"/>
    <mergeCell ref="C1867:D1867"/>
    <mergeCell ref="M1867:M1868"/>
    <mergeCell ref="C1868:D1868"/>
    <mergeCell ref="O1799:P1799"/>
    <mergeCell ref="G1816:J1816"/>
    <mergeCell ref="K1816:L1816"/>
    <mergeCell ref="G1817:J1817"/>
    <mergeCell ref="O1863:P1863"/>
    <mergeCell ref="D1805:H1805"/>
    <mergeCell ref="D1800:M1800"/>
    <mergeCell ref="G1803:H1803"/>
    <mergeCell ref="O1802:P1802"/>
    <mergeCell ref="D1863:M1863"/>
    <mergeCell ref="M1907:M1908"/>
    <mergeCell ref="N1907:O1908"/>
    <mergeCell ref="G1902:J1902"/>
    <mergeCell ref="K1879:L1879"/>
    <mergeCell ref="K1902:L1902"/>
    <mergeCell ref="C1877:D1877"/>
    <mergeCell ref="C1874:D1874"/>
    <mergeCell ref="O1904:P1904"/>
    <mergeCell ref="D1905:M1905"/>
    <mergeCell ref="O1905:P1905"/>
    <mergeCell ref="G1907:G1908"/>
    <mergeCell ref="H1907:I1908"/>
    <mergeCell ref="J1907:J1908"/>
    <mergeCell ref="G1881:J1881"/>
    <mergeCell ref="C1804:C1806"/>
    <mergeCell ref="H1867:L1867"/>
    <mergeCell ref="H1868:L1868"/>
    <mergeCell ref="D1479:M1479"/>
    <mergeCell ref="O1479:P1479"/>
    <mergeCell ref="D1758:M1758"/>
    <mergeCell ref="K1779:L1779"/>
    <mergeCell ref="M1779:N1779"/>
    <mergeCell ref="D1776:M1776"/>
    <mergeCell ref="O1736:P1736"/>
    <mergeCell ref="D1737:M1737"/>
    <mergeCell ref="O1737:P1737"/>
    <mergeCell ref="O1715:P1715"/>
    <mergeCell ref="D1760:H1760"/>
    <mergeCell ref="K1496:L1496"/>
    <mergeCell ref="G1497:J1497"/>
    <mergeCell ref="O1757:P1757"/>
    <mergeCell ref="O1758:P1758"/>
    <mergeCell ref="D1763:H1763"/>
    <mergeCell ref="D1764:H1764"/>
    <mergeCell ref="K1761:L1761"/>
    <mergeCell ref="D1761:E1761"/>
    <mergeCell ref="K1760:L1760"/>
    <mergeCell ref="M1760:N1760"/>
    <mergeCell ref="D1589:M1589"/>
    <mergeCell ref="O1500:P1500"/>
    <mergeCell ref="D1544:M1544"/>
    <mergeCell ref="O1631:P1631"/>
    <mergeCell ref="D1632:M1632"/>
    <mergeCell ref="O1632:P1632"/>
    <mergeCell ref="O1782:P1782"/>
    <mergeCell ref="K1817:L1817"/>
    <mergeCell ref="D1883:M1883"/>
    <mergeCell ref="O1883:P1883"/>
    <mergeCell ref="D1884:M1884"/>
    <mergeCell ref="D1907:F1908"/>
    <mergeCell ref="G1922:J1922"/>
    <mergeCell ref="K1922:L1922"/>
    <mergeCell ref="G1923:J1923"/>
    <mergeCell ref="K1923:L1923"/>
    <mergeCell ref="D1133:M1133"/>
    <mergeCell ref="D1154:M1154"/>
    <mergeCell ref="D1174:M1174"/>
    <mergeCell ref="D1904:M1904"/>
    <mergeCell ref="D1762:E1762"/>
    <mergeCell ref="G1762:H1762"/>
    <mergeCell ref="K1762:L1762"/>
    <mergeCell ref="D1779:H1779"/>
    <mergeCell ref="G1920:J1920"/>
    <mergeCell ref="D1307:M1307"/>
    <mergeCell ref="D1286:M1286"/>
    <mergeCell ref="D1308:M1308"/>
    <mergeCell ref="D1328:M1328"/>
    <mergeCell ref="D1329:M1329"/>
    <mergeCell ref="D1350:M1350"/>
    <mergeCell ref="D1915:K1915"/>
    <mergeCell ref="M1915:N1915"/>
    <mergeCell ref="D1523:M1523"/>
    <mergeCell ref="K1909:L1910"/>
    <mergeCell ref="K1920:L1920"/>
    <mergeCell ref="G1921:J1921"/>
    <mergeCell ref="K1921:L1921"/>
    <mergeCell ref="D1914:F1914"/>
    <mergeCell ref="D1862:M1862"/>
    <mergeCell ref="K334:L334"/>
    <mergeCell ref="K247:L247"/>
    <mergeCell ref="G244:J244"/>
    <mergeCell ref="K244:L244"/>
    <mergeCell ref="C65:C69"/>
    <mergeCell ref="D42:F42"/>
    <mergeCell ref="D51:F51"/>
    <mergeCell ref="C128:C132"/>
    <mergeCell ref="G120:J120"/>
    <mergeCell ref="K120:L120"/>
    <mergeCell ref="G121:J121"/>
    <mergeCell ref="K121:L121"/>
    <mergeCell ref="G118:J118"/>
    <mergeCell ref="K118:L118"/>
    <mergeCell ref="G119:J119"/>
    <mergeCell ref="K119:L119"/>
    <mergeCell ref="K79:L79"/>
    <mergeCell ref="G76:J76"/>
    <mergeCell ref="K76:L76"/>
    <mergeCell ref="G77:J77"/>
    <mergeCell ref="K77:L77"/>
    <mergeCell ref="C107:C111"/>
    <mergeCell ref="D107:G111"/>
    <mergeCell ref="H107:H111"/>
    <mergeCell ref="I107:I111"/>
    <mergeCell ref="J107:J111"/>
    <mergeCell ref="K107:K111"/>
    <mergeCell ref="K57:L57"/>
    <mergeCell ref="D60:M60"/>
    <mergeCell ref="D61:M61"/>
    <mergeCell ref="G246:J246"/>
    <mergeCell ref="F253:G253"/>
    <mergeCell ref="C212:C216"/>
    <mergeCell ref="G418:J418"/>
    <mergeCell ref="K418:L418"/>
    <mergeCell ref="G419:J419"/>
    <mergeCell ref="K419:L419"/>
    <mergeCell ref="H414:I414"/>
    <mergeCell ref="J413:K413"/>
    <mergeCell ref="D417:F417"/>
    <mergeCell ref="F254:G254"/>
    <mergeCell ref="D255:E255"/>
    <mergeCell ref="F255:G255"/>
    <mergeCell ref="C259:E259"/>
    <mergeCell ref="F260:G260"/>
    <mergeCell ref="F261:G261"/>
    <mergeCell ref="J262:P262"/>
    <mergeCell ref="J263:L263"/>
    <mergeCell ref="M263:N263"/>
    <mergeCell ref="N253:O253"/>
    <mergeCell ref="N254:O255"/>
    <mergeCell ref="K335:L335"/>
    <mergeCell ref="G288:J288"/>
    <mergeCell ref="K288:L288"/>
    <mergeCell ref="G289:J289"/>
    <mergeCell ref="K289:L289"/>
    <mergeCell ref="G290:J290"/>
    <mergeCell ref="K290:L290"/>
    <mergeCell ref="G291:J291"/>
    <mergeCell ref="K291:L291"/>
    <mergeCell ref="D304:I304"/>
    <mergeCell ref="O249:P249"/>
    <mergeCell ref="D250:M250"/>
    <mergeCell ref="O250:P250"/>
    <mergeCell ref="D249:M249"/>
    <mergeCell ref="C343:C347"/>
    <mergeCell ref="D343:G347"/>
    <mergeCell ref="H343:H347"/>
    <mergeCell ref="I343:I347"/>
    <mergeCell ref="J343:J347"/>
    <mergeCell ref="K343:K347"/>
    <mergeCell ref="L343:L347"/>
    <mergeCell ref="M343:N347"/>
    <mergeCell ref="O343:O347"/>
    <mergeCell ref="J414:K414"/>
    <mergeCell ref="L414:M414"/>
    <mergeCell ref="L413:M413"/>
    <mergeCell ref="N414:O414"/>
    <mergeCell ref="K336:L336"/>
    <mergeCell ref="O360:P360"/>
    <mergeCell ref="G354:J354"/>
    <mergeCell ref="K354:L354"/>
    <mergeCell ref="G355:J355"/>
    <mergeCell ref="K355:L355"/>
    <mergeCell ref="G356:J356"/>
    <mergeCell ref="C406:C411"/>
    <mergeCell ref="D254:E254"/>
    <mergeCell ref="D360:M360"/>
    <mergeCell ref="K378:L378"/>
    <mergeCell ref="C261:E261"/>
    <mergeCell ref="O338:P338"/>
    <mergeCell ref="O381:P381"/>
    <mergeCell ref="D380:M380"/>
    <mergeCell ref="J412:K412"/>
    <mergeCell ref="K333:L333"/>
    <mergeCell ref="G396:J396"/>
    <mergeCell ref="K396:L396"/>
    <mergeCell ref="G397:J397"/>
    <mergeCell ref="K397:L397"/>
    <mergeCell ref="K398:L398"/>
    <mergeCell ref="G399:J399"/>
    <mergeCell ref="G375:J375"/>
    <mergeCell ref="K375:L375"/>
    <mergeCell ref="G376:J376"/>
    <mergeCell ref="K376:L376"/>
    <mergeCell ref="D401:M401"/>
    <mergeCell ref="O401:P401"/>
    <mergeCell ref="D402:M402"/>
    <mergeCell ref="O402:P402"/>
    <mergeCell ref="L410:M410"/>
    <mergeCell ref="D410:E410"/>
    <mergeCell ref="F410:G410"/>
    <mergeCell ref="N410:O410"/>
    <mergeCell ref="O380:P380"/>
    <mergeCell ref="D381:M381"/>
    <mergeCell ref="G377:J377"/>
    <mergeCell ref="K377:L377"/>
    <mergeCell ref="G378:J378"/>
    <mergeCell ref="I404:J404"/>
    <mergeCell ref="K404:L404"/>
    <mergeCell ref="M404:N404"/>
    <mergeCell ref="D405:E405"/>
    <mergeCell ref="G405:H405"/>
    <mergeCell ref="K406:L406"/>
    <mergeCell ref="M406:N406"/>
    <mergeCell ref="D409:O409"/>
    <mergeCell ref="K399:L399"/>
    <mergeCell ref="D371:I371"/>
    <mergeCell ref="I405:J405"/>
    <mergeCell ref="O479:P479"/>
    <mergeCell ref="O424:P424"/>
    <mergeCell ref="O457:P457"/>
    <mergeCell ref="D458:M458"/>
    <mergeCell ref="D424:M424"/>
    <mergeCell ref="D457:M457"/>
    <mergeCell ref="D447:M447"/>
    <mergeCell ref="N412:O412"/>
    <mergeCell ref="L412:M412"/>
    <mergeCell ref="H410:I410"/>
    <mergeCell ref="J410:K410"/>
    <mergeCell ref="O447:P447"/>
    <mergeCell ref="F413:G413"/>
    <mergeCell ref="G421:J421"/>
    <mergeCell ref="K421:L421"/>
    <mergeCell ref="O458:P458"/>
    <mergeCell ref="F411:G411"/>
    <mergeCell ref="H411:I411"/>
    <mergeCell ref="D415:M415"/>
    <mergeCell ref="N415:O415"/>
    <mergeCell ref="N413:O413"/>
    <mergeCell ref="O423:P423"/>
    <mergeCell ref="K452:L452"/>
    <mergeCell ref="G453:J453"/>
    <mergeCell ref="K453:L453"/>
    <mergeCell ref="G454:J454"/>
    <mergeCell ref="G473:J473"/>
    <mergeCell ref="K473:L473"/>
    <mergeCell ref="G474:J474"/>
    <mergeCell ref="K474:L474"/>
    <mergeCell ref="O480:P480"/>
    <mergeCell ref="D479:M479"/>
    <mergeCell ref="D569:M569"/>
    <mergeCell ref="G510:J510"/>
    <mergeCell ref="D413:E413"/>
    <mergeCell ref="O468:P468"/>
    <mergeCell ref="O469:P469"/>
    <mergeCell ref="O491:P491"/>
    <mergeCell ref="O492:P492"/>
    <mergeCell ref="D492:M492"/>
    <mergeCell ref="O446:P446"/>
    <mergeCell ref="O536:P536"/>
    <mergeCell ref="D537:M537"/>
    <mergeCell ref="O537:P537"/>
    <mergeCell ref="O546:P546"/>
    <mergeCell ref="H523:K523"/>
    <mergeCell ref="M523:P523"/>
    <mergeCell ref="D446:M446"/>
    <mergeCell ref="G420:J420"/>
    <mergeCell ref="K420:L420"/>
    <mergeCell ref="K489:L489"/>
    <mergeCell ref="E482:G482"/>
    <mergeCell ref="G508:J508"/>
    <mergeCell ref="K508:L508"/>
    <mergeCell ref="K440:L440"/>
    <mergeCell ref="G441:J441"/>
    <mergeCell ref="G452:J452"/>
    <mergeCell ref="D414:E414"/>
    <mergeCell ref="F414:G414"/>
    <mergeCell ref="H436:I436"/>
    <mergeCell ref="G440:J440"/>
    <mergeCell ref="D547:M547"/>
    <mergeCell ref="O547:P547"/>
    <mergeCell ref="O626:P626"/>
    <mergeCell ref="O627:P627"/>
    <mergeCell ref="D568:M568"/>
    <mergeCell ref="G531:J531"/>
    <mergeCell ref="K531:L531"/>
    <mergeCell ref="G532:J532"/>
    <mergeCell ref="K532:L532"/>
    <mergeCell ref="K533:L533"/>
    <mergeCell ref="G534:J534"/>
    <mergeCell ref="K534:L534"/>
    <mergeCell ref="D609:M609"/>
    <mergeCell ref="G533:J533"/>
    <mergeCell ref="G563:J563"/>
    <mergeCell ref="K563:L563"/>
    <mergeCell ref="G564:J564"/>
    <mergeCell ref="K564:L564"/>
    <mergeCell ref="G565:J565"/>
    <mergeCell ref="K565:L565"/>
    <mergeCell ref="G566:J566"/>
    <mergeCell ref="K566:L566"/>
    <mergeCell ref="G582:J582"/>
    <mergeCell ref="K582:L582"/>
    <mergeCell ref="G583:J583"/>
    <mergeCell ref="K583:L583"/>
    <mergeCell ref="G584:J584"/>
    <mergeCell ref="O568:P568"/>
    <mergeCell ref="O569:P569"/>
    <mergeCell ref="O587:P587"/>
    <mergeCell ref="K622:L622"/>
    <mergeCell ref="K604:L604"/>
    <mergeCell ref="G605:J605"/>
    <mergeCell ref="C661:C664"/>
    <mergeCell ref="D705:M705"/>
    <mergeCell ref="O705:P705"/>
    <mergeCell ref="O704:P704"/>
    <mergeCell ref="G641:J641"/>
    <mergeCell ref="K641:L641"/>
    <mergeCell ref="G642:J642"/>
    <mergeCell ref="K642:L642"/>
    <mergeCell ref="G643:J643"/>
    <mergeCell ref="K643:L643"/>
    <mergeCell ref="G644:J644"/>
    <mergeCell ref="K644:L644"/>
    <mergeCell ref="K653:L653"/>
    <mergeCell ref="F715:G715"/>
    <mergeCell ref="O588:P588"/>
    <mergeCell ref="O609:P609"/>
    <mergeCell ref="D610:M610"/>
    <mergeCell ref="G653:J653"/>
    <mergeCell ref="D663:I663"/>
    <mergeCell ref="D664:I664"/>
    <mergeCell ref="G675:J675"/>
    <mergeCell ref="K675:L675"/>
    <mergeCell ref="G676:J676"/>
    <mergeCell ref="K676:L676"/>
    <mergeCell ref="G677:J677"/>
    <mergeCell ref="K677:L677"/>
    <mergeCell ref="G678:J678"/>
    <mergeCell ref="K678:L678"/>
    <mergeCell ref="D662:I662"/>
    <mergeCell ref="G698:J698"/>
    <mergeCell ref="O648:P648"/>
    <mergeCell ref="O610:P610"/>
    <mergeCell ref="O647:P647"/>
    <mergeCell ref="D648:M648"/>
    <mergeCell ref="E726:F726"/>
    <mergeCell ref="G726:H726"/>
    <mergeCell ref="I726:J726"/>
    <mergeCell ref="E727:F727"/>
    <mergeCell ref="G727:H727"/>
    <mergeCell ref="I727:J727"/>
    <mergeCell ref="E728:F728"/>
    <mergeCell ref="G728:H728"/>
    <mergeCell ref="I728:J728"/>
    <mergeCell ref="O758:P758"/>
    <mergeCell ref="O811:P811"/>
    <mergeCell ref="G700:J700"/>
    <mergeCell ref="K698:L698"/>
    <mergeCell ref="G809:J809"/>
    <mergeCell ref="K809:L809"/>
    <mergeCell ref="K797:L797"/>
    <mergeCell ref="G798:J798"/>
    <mergeCell ref="K798:L798"/>
    <mergeCell ref="D661:I661"/>
    <mergeCell ref="K745:L745"/>
    <mergeCell ref="G746:J746"/>
    <mergeCell ref="K746:L746"/>
    <mergeCell ref="M650:P654"/>
    <mergeCell ref="D751:F751"/>
    <mergeCell ref="O656:P656"/>
    <mergeCell ref="D657:M657"/>
    <mergeCell ref="O657:P657"/>
    <mergeCell ref="D686:I686"/>
    <mergeCell ref="D656:M656"/>
    <mergeCell ref="G747:J747"/>
    <mergeCell ref="O971:P971"/>
    <mergeCell ref="D1220:M1220"/>
    <mergeCell ref="D1198:M1198"/>
    <mergeCell ref="O1198:P1198"/>
    <mergeCell ref="O1197:P1197"/>
    <mergeCell ref="O1070:P1070"/>
    <mergeCell ref="G989:J989"/>
    <mergeCell ref="K989:L989"/>
    <mergeCell ref="G1007:J1007"/>
    <mergeCell ref="K1007:L1007"/>
    <mergeCell ref="D992:M992"/>
    <mergeCell ref="D971:M971"/>
    <mergeCell ref="G1008:J1008"/>
    <mergeCell ref="D1070:M1070"/>
    <mergeCell ref="G1150:J1150"/>
    <mergeCell ref="O1092:P1092"/>
    <mergeCell ref="D1113:M1113"/>
    <mergeCell ref="K1129:L1129"/>
    <mergeCell ref="G1130:J1130"/>
    <mergeCell ref="G1065:J1065"/>
    <mergeCell ref="K1065:L1065"/>
    <mergeCell ref="G1066:J1066"/>
    <mergeCell ref="D1115:H1115"/>
    <mergeCell ref="D1036:F1036"/>
    <mergeCell ref="D1038:J1038"/>
    <mergeCell ref="D1162:L1162"/>
    <mergeCell ref="D1182:D1183"/>
    <mergeCell ref="E1182:E1183"/>
    <mergeCell ref="F1182:F1183"/>
    <mergeCell ref="O1153:P1153"/>
    <mergeCell ref="G1216:J1216"/>
    <mergeCell ref="G1217:J1217"/>
    <mergeCell ref="K1261:L1261"/>
    <mergeCell ref="G1192:J1192"/>
    <mergeCell ref="K1195:L1195"/>
    <mergeCell ref="D1398:F1398"/>
    <mergeCell ref="G1182:G1183"/>
    <mergeCell ref="H1182:H1183"/>
    <mergeCell ref="D1206:D1207"/>
    <mergeCell ref="K1157:L1157"/>
    <mergeCell ref="K1158:L1158"/>
    <mergeCell ref="K1159:L1159"/>
    <mergeCell ref="K1160:L1160"/>
    <mergeCell ref="K1161:L1161"/>
    <mergeCell ref="D1159:F1159"/>
    <mergeCell ref="F1210:H1210"/>
    <mergeCell ref="J1210:L1210"/>
    <mergeCell ref="D1223:D1224"/>
    <mergeCell ref="E1223:G1223"/>
    <mergeCell ref="J1223:J1224"/>
    <mergeCell ref="D1231:F1231"/>
    <mergeCell ref="K1260:L1260"/>
    <mergeCell ref="G1235:J1235"/>
    <mergeCell ref="K1235:L1235"/>
    <mergeCell ref="G1236:J1236"/>
    <mergeCell ref="K1236:L1236"/>
    <mergeCell ref="G1237:J1237"/>
    <mergeCell ref="K1237:L1237"/>
    <mergeCell ref="G1238:J1238"/>
    <mergeCell ref="K1238:L1238"/>
    <mergeCell ref="D1243:H1243"/>
    <mergeCell ref="J1243:N1243"/>
    <mergeCell ref="E1249:E1250"/>
    <mergeCell ref="F1249:F1250"/>
    <mergeCell ref="G1670:J1670"/>
    <mergeCell ref="O1499:P1499"/>
    <mergeCell ref="D1500:M1500"/>
    <mergeCell ref="G1452:J1452"/>
    <mergeCell ref="O1523:P1523"/>
    <mergeCell ref="D1524:M1524"/>
    <mergeCell ref="O1524:P1524"/>
    <mergeCell ref="K1518:L1518"/>
    <mergeCell ref="G1495:J1495"/>
    <mergeCell ref="D1462:I1462"/>
    <mergeCell ref="D1610:M1610"/>
    <mergeCell ref="K1584:L1584"/>
    <mergeCell ref="G1585:J1585"/>
    <mergeCell ref="K1585:L1585"/>
    <mergeCell ref="G1540:J1540"/>
    <mergeCell ref="G1473:J1473"/>
    <mergeCell ref="K1473:L1473"/>
    <mergeCell ref="D1653:M1653"/>
    <mergeCell ref="N1464:O1464"/>
    <mergeCell ref="D1482:E1482"/>
    <mergeCell ref="H1482:I1482"/>
    <mergeCell ref="D1483:E1483"/>
    <mergeCell ref="H1483:I1483"/>
    <mergeCell ref="D1484:E1484"/>
    <mergeCell ref="H1484:I1484"/>
    <mergeCell ref="D1485:E1485"/>
    <mergeCell ref="H1485:I1485"/>
    <mergeCell ref="D1486:E1486"/>
    <mergeCell ref="H1486:I1486"/>
    <mergeCell ref="D1487:G1487"/>
    <mergeCell ref="H1487:I1487"/>
    <mergeCell ref="D1503:E1503"/>
    <mergeCell ref="G1669:J1669"/>
    <mergeCell ref="K1669:L1669"/>
    <mergeCell ref="O1414:P1414"/>
    <mergeCell ref="C1763:C1769"/>
    <mergeCell ref="O1780:P1780"/>
    <mergeCell ref="O1781:P1781"/>
    <mergeCell ref="C1866:D1866"/>
    <mergeCell ref="O1820:P1820"/>
    <mergeCell ref="D1821:M1821"/>
    <mergeCell ref="O1821:P1821"/>
    <mergeCell ref="D1780:E1780"/>
    <mergeCell ref="D1777:M1777"/>
    <mergeCell ref="O1777:P1777"/>
    <mergeCell ref="C1781:C1785"/>
    <mergeCell ref="D1842:M1842"/>
    <mergeCell ref="O1842:P1842"/>
    <mergeCell ref="O1803:P1803"/>
    <mergeCell ref="M1802:N1802"/>
    <mergeCell ref="K1838:L1838"/>
    <mergeCell ref="G1839:J1839"/>
    <mergeCell ref="G1781:H1781"/>
    <mergeCell ref="M1780:N1780"/>
    <mergeCell ref="G1837:J1837"/>
    <mergeCell ref="O1566:P1566"/>
    <mergeCell ref="D1565:M1565"/>
    <mergeCell ref="O1565:P1565"/>
    <mergeCell ref="D1566:M1566"/>
    <mergeCell ref="O1589:P1589"/>
    <mergeCell ref="K1520:L1520"/>
    <mergeCell ref="I1866:J1866"/>
    <mergeCell ref="G1521:J1521"/>
    <mergeCell ref="K1521:L1521"/>
    <mergeCell ref="K1802:L1802"/>
    <mergeCell ref="G1836:J1836"/>
    <mergeCell ref="K1836:L1836"/>
    <mergeCell ref="K1803:L1804"/>
    <mergeCell ref="K1798:L1798"/>
    <mergeCell ref="D1782:H1782"/>
    <mergeCell ref="O1590:P1590"/>
    <mergeCell ref="G1732:J1732"/>
    <mergeCell ref="K1732:L1732"/>
    <mergeCell ref="G1733:J1733"/>
    <mergeCell ref="K1541:L1541"/>
    <mergeCell ref="G1542:J1542"/>
    <mergeCell ref="K1542:L1542"/>
    <mergeCell ref="G1560:J1560"/>
    <mergeCell ref="K1560:L1560"/>
    <mergeCell ref="G1586:J1586"/>
    <mergeCell ref="K1586:L1586"/>
    <mergeCell ref="O1716:P1716"/>
    <mergeCell ref="D1611:M1611"/>
    <mergeCell ref="G1628:J1628"/>
    <mergeCell ref="K1628:L1628"/>
    <mergeCell ref="G1629:J1629"/>
    <mergeCell ref="K1629:L1629"/>
    <mergeCell ref="G1647:J1647"/>
    <mergeCell ref="D1694:M1694"/>
    <mergeCell ref="O1653:P1653"/>
    <mergeCell ref="G1541:J1541"/>
    <mergeCell ref="O1800:P1800"/>
    <mergeCell ref="D1803:E1803"/>
    <mergeCell ref="K1626:L1626"/>
    <mergeCell ref="G1668:J1668"/>
    <mergeCell ref="K1668:L1668"/>
    <mergeCell ref="G1627:J1627"/>
    <mergeCell ref="K1627:L1627"/>
    <mergeCell ref="I1871:P1876"/>
    <mergeCell ref="C1875:D1875"/>
    <mergeCell ref="C1876:D1876"/>
    <mergeCell ref="K1818:L1818"/>
    <mergeCell ref="C1872:D1872"/>
    <mergeCell ref="C1865:P1865"/>
    <mergeCell ref="O1841:P1841"/>
    <mergeCell ref="G1771:J1771"/>
    <mergeCell ref="K1771:L1771"/>
    <mergeCell ref="G1772:J1772"/>
    <mergeCell ref="K1772:L1772"/>
    <mergeCell ref="O1776:P1776"/>
    <mergeCell ref="D1820:M1820"/>
    <mergeCell ref="D1736:M1736"/>
    <mergeCell ref="M1782:N1782"/>
    <mergeCell ref="D1716:M1716"/>
    <mergeCell ref="K1763:L1763"/>
    <mergeCell ref="G1780:H1780"/>
    <mergeCell ref="G1794:J1794"/>
    <mergeCell ref="K1794:L1794"/>
    <mergeCell ref="G1754:J1754"/>
    <mergeCell ref="K1754:L1754"/>
    <mergeCell ref="G1755:J1755"/>
    <mergeCell ref="K1755:L1755"/>
    <mergeCell ref="K1773:L1773"/>
    <mergeCell ref="G1711:J1711"/>
    <mergeCell ref="K1797:L1797"/>
    <mergeCell ref="G1795:J1795"/>
    <mergeCell ref="D1841:M1841"/>
    <mergeCell ref="G1774:J1774"/>
    <mergeCell ref="G1626:J1626"/>
    <mergeCell ref="G1587:J1587"/>
    <mergeCell ref="K1587:L1587"/>
    <mergeCell ref="H1433:K1433"/>
    <mergeCell ref="L1433:M1433"/>
    <mergeCell ref="I1438:J1438"/>
    <mergeCell ref="K1438:L1438"/>
    <mergeCell ref="I1439:J1439"/>
    <mergeCell ref="K1439:L1439"/>
    <mergeCell ref="G1494:J1494"/>
    <mergeCell ref="K1494:L1494"/>
    <mergeCell ref="G1584:J1584"/>
    <mergeCell ref="K1712:L1712"/>
    <mergeCell ref="G1713:J1713"/>
    <mergeCell ref="K1713:L1713"/>
    <mergeCell ref="G1607:J1607"/>
    <mergeCell ref="K1607:L1607"/>
    <mergeCell ref="K1710:L1710"/>
    <mergeCell ref="G1453:J1453"/>
    <mergeCell ref="K1453:L1453"/>
    <mergeCell ref="G1475:J1475"/>
    <mergeCell ref="K1475:L1475"/>
    <mergeCell ref="G1476:J1476"/>
    <mergeCell ref="G1710:J1710"/>
    <mergeCell ref="K1519:L1519"/>
    <mergeCell ref="G1520:J1520"/>
    <mergeCell ref="K1476:L1476"/>
    <mergeCell ref="K1497:L1497"/>
    <mergeCell ref="G1518:J1518"/>
    <mergeCell ref="K1692:L1692"/>
    <mergeCell ref="K1647:L1647"/>
    <mergeCell ref="G1691:J1691"/>
    <mergeCell ref="K1774:L1774"/>
    <mergeCell ref="G1773:J1773"/>
    <mergeCell ref="G1648:J1648"/>
    <mergeCell ref="K1648:L1648"/>
    <mergeCell ref="K1731:L1731"/>
    <mergeCell ref="K1670:L1670"/>
    <mergeCell ref="G1671:J1671"/>
    <mergeCell ref="K1671:L1671"/>
    <mergeCell ref="G1689:J1689"/>
    <mergeCell ref="K1689:L1689"/>
    <mergeCell ref="G1690:J1690"/>
    <mergeCell ref="K1795:L1795"/>
    <mergeCell ref="G1796:J1796"/>
    <mergeCell ref="K1796:L1796"/>
    <mergeCell ref="K1839:L1839"/>
    <mergeCell ref="D1799:M1799"/>
    <mergeCell ref="G1650:J1650"/>
    <mergeCell ref="K1650:L1650"/>
    <mergeCell ref="G1753:J1753"/>
    <mergeCell ref="K1753:L1753"/>
    <mergeCell ref="G1731:J1731"/>
    <mergeCell ref="G1798:J1798"/>
    <mergeCell ref="K1711:L1711"/>
    <mergeCell ref="G1712:J1712"/>
    <mergeCell ref="K1780:L1781"/>
    <mergeCell ref="G1818:J1818"/>
    <mergeCell ref="G1819:J1819"/>
    <mergeCell ref="K1819:L1819"/>
    <mergeCell ref="G1761:H1761"/>
    <mergeCell ref="M1803:N1803"/>
    <mergeCell ref="K1837:L1837"/>
    <mergeCell ref="G1838:J1838"/>
    <mergeCell ref="G1880:J1880"/>
    <mergeCell ref="K1880:L1880"/>
    <mergeCell ref="C1870:D1870"/>
    <mergeCell ref="C1871:D1871"/>
    <mergeCell ref="D683:H683"/>
    <mergeCell ref="D684:H684"/>
    <mergeCell ref="D685:H685"/>
    <mergeCell ref="K1733:L1733"/>
    <mergeCell ref="G1734:J1734"/>
    <mergeCell ref="K1734:L1734"/>
    <mergeCell ref="G1752:J1752"/>
    <mergeCell ref="K1752:L1752"/>
    <mergeCell ref="K1691:L1691"/>
    <mergeCell ref="G1692:J1692"/>
    <mergeCell ref="D749:M749"/>
    <mergeCell ref="G986:J986"/>
    <mergeCell ref="G1815:J1815"/>
    <mergeCell ref="K1815:L1815"/>
    <mergeCell ref="K927:L927"/>
    <mergeCell ref="G1450:J1450"/>
    <mergeCell ref="K1450:L1450"/>
    <mergeCell ref="G1451:J1451"/>
    <mergeCell ref="K1451:L1451"/>
    <mergeCell ref="D1117:H1117"/>
    <mergeCell ref="D1116:H1116"/>
    <mergeCell ref="K1605:L1605"/>
    <mergeCell ref="G1606:J1606"/>
    <mergeCell ref="K1690:L1690"/>
    <mergeCell ref="G1067:J1067"/>
    <mergeCell ref="K1067:L1067"/>
    <mergeCell ref="G1649:J1649"/>
    <mergeCell ref="K1649:L1649"/>
    <mergeCell ref="T730:U730"/>
    <mergeCell ref="V730:W730"/>
    <mergeCell ref="X730:Y730"/>
    <mergeCell ref="D913:H913"/>
    <mergeCell ref="G753:J753"/>
    <mergeCell ref="K753:L753"/>
    <mergeCell ref="G754:J754"/>
    <mergeCell ref="K754:L754"/>
    <mergeCell ref="G755:J755"/>
    <mergeCell ref="K755:L755"/>
    <mergeCell ref="G756:J756"/>
    <mergeCell ref="K756:L756"/>
    <mergeCell ref="K967:L967"/>
    <mergeCell ref="M1482:N1491"/>
    <mergeCell ref="K1442:L1442"/>
    <mergeCell ref="K1443:L1443"/>
    <mergeCell ref="O970:P970"/>
    <mergeCell ref="O749:P749"/>
    <mergeCell ref="D750:M750"/>
    <mergeCell ref="O750:P750"/>
    <mergeCell ref="O1034:P1034"/>
    <mergeCell ref="K1387:L1387"/>
    <mergeCell ref="G1388:J1388"/>
    <mergeCell ref="K1388:L1388"/>
    <mergeCell ref="D1441:E1441"/>
    <mergeCell ref="I1441:J1441"/>
    <mergeCell ref="K1441:L1441"/>
    <mergeCell ref="L1411:M1411"/>
    <mergeCell ref="G968:J968"/>
    <mergeCell ref="K968:L968"/>
    <mergeCell ref="K1066:L1066"/>
    <mergeCell ref="O1455:P1455"/>
    <mergeCell ref="O1610:P1610"/>
    <mergeCell ref="K1495:L1495"/>
    <mergeCell ref="G1496:J1496"/>
    <mergeCell ref="K1482:K1491"/>
    <mergeCell ref="L1482:L1491"/>
    <mergeCell ref="G1608:J1608"/>
    <mergeCell ref="K1608:L1608"/>
    <mergeCell ref="I1440:J1440"/>
    <mergeCell ref="K1440:L1440"/>
    <mergeCell ref="K1303:L1303"/>
    <mergeCell ref="H1410:K1410"/>
    <mergeCell ref="L1410:M1410"/>
    <mergeCell ref="H1411:K1411"/>
    <mergeCell ref="G1474:J1474"/>
    <mergeCell ref="K1474:L1474"/>
    <mergeCell ref="D1440:E1440"/>
    <mergeCell ref="D1400:F1400"/>
    <mergeCell ref="D1401:F1401"/>
    <mergeCell ref="D1402:F1402"/>
    <mergeCell ref="L1416:P1427"/>
    <mergeCell ref="D1416:F1416"/>
    <mergeCell ref="D1420:F1420"/>
    <mergeCell ref="D1421:F1421"/>
    <mergeCell ref="D1422:F1422"/>
    <mergeCell ref="D1403:J1403"/>
    <mergeCell ref="D1425:H1425"/>
    <mergeCell ref="D1429:G1429"/>
    <mergeCell ref="L1429:M1429"/>
    <mergeCell ref="H1430:K1430"/>
    <mergeCell ref="G1539:J1539"/>
    <mergeCell ref="K1539:L1539"/>
    <mergeCell ref="D1438:E1438"/>
    <mergeCell ref="K1606:L1606"/>
    <mergeCell ref="M1502:P1510"/>
    <mergeCell ref="D1502:E1502"/>
    <mergeCell ref="D1394:F1394"/>
    <mergeCell ref="G1561:J1561"/>
    <mergeCell ref="K1561:L1561"/>
    <mergeCell ref="G1562:J1562"/>
    <mergeCell ref="K1562:L1562"/>
    <mergeCell ref="G1563:J1563"/>
    <mergeCell ref="K1563:L1563"/>
    <mergeCell ref="D1439:E1439"/>
    <mergeCell ref="O1413:P1413"/>
    <mergeCell ref="K1540:L1540"/>
    <mergeCell ref="K1452:L1452"/>
    <mergeCell ref="D1456:M1456"/>
    <mergeCell ref="O1435:P1435"/>
    <mergeCell ref="D1455:M1455"/>
    <mergeCell ref="D1499:M1499"/>
    <mergeCell ref="O1544:P1544"/>
    <mergeCell ref="D1545:M1545"/>
    <mergeCell ref="L1394:P1402"/>
    <mergeCell ref="K1462:P1462"/>
    <mergeCell ref="N1463:O1463"/>
    <mergeCell ref="D1444:J1444"/>
    <mergeCell ref="K1444:L1444"/>
    <mergeCell ref="L1404:M1404"/>
    <mergeCell ref="H1408:K1408"/>
    <mergeCell ref="G1460:H1460"/>
    <mergeCell ref="D1481:E1481"/>
    <mergeCell ref="H1481:I1481"/>
    <mergeCell ref="J1512:K1512"/>
    <mergeCell ref="D1548:E1548"/>
    <mergeCell ref="D285:I285"/>
    <mergeCell ref="D307:I307"/>
    <mergeCell ref="M306:P312"/>
    <mergeCell ref="D328:I328"/>
    <mergeCell ref="M371:P378"/>
    <mergeCell ref="M416:P422"/>
    <mergeCell ref="M438:P444"/>
    <mergeCell ref="D434:F434"/>
    <mergeCell ref="C518:F518"/>
    <mergeCell ref="H518:K518"/>
    <mergeCell ref="M518:P518"/>
    <mergeCell ref="C523:F523"/>
    <mergeCell ref="D1265:M1265"/>
    <mergeCell ref="D1266:M1266"/>
    <mergeCell ref="G1169:J1169"/>
    <mergeCell ref="K1169:L1169"/>
    <mergeCell ref="G1170:J1170"/>
    <mergeCell ref="G1261:J1261"/>
    <mergeCell ref="G1213:I1213"/>
    <mergeCell ref="K1192:L1192"/>
    <mergeCell ref="O1265:P1265"/>
    <mergeCell ref="K1216:L1216"/>
    <mergeCell ref="D1052:F1052"/>
    <mergeCell ref="D1054:J1054"/>
    <mergeCell ref="D1142:G1142"/>
    <mergeCell ref="D587:M587"/>
    <mergeCell ref="D588:M588"/>
    <mergeCell ref="D680:M680"/>
    <mergeCell ref="D704:M704"/>
    <mergeCell ref="O722:P722"/>
    <mergeCell ref="D723:M723"/>
    <mergeCell ref="O723:P723"/>
    <mergeCell ref="H23:J23"/>
    <mergeCell ref="G903:J903"/>
    <mergeCell ref="K903:L903"/>
    <mergeCell ref="G904:J904"/>
    <mergeCell ref="K904:L904"/>
    <mergeCell ref="G905:J905"/>
    <mergeCell ref="K905:L905"/>
    <mergeCell ref="G941:J941"/>
    <mergeCell ref="K941:L941"/>
    <mergeCell ref="G942:J942"/>
    <mergeCell ref="K942:L942"/>
    <mergeCell ref="G943:J943"/>
    <mergeCell ref="O991:P991"/>
    <mergeCell ref="G806:J806"/>
    <mergeCell ref="K806:L806"/>
    <mergeCell ref="G807:J807"/>
    <mergeCell ref="K830:L830"/>
    <mergeCell ref="I838:J838"/>
    <mergeCell ref="G744:J744"/>
    <mergeCell ref="K744:L744"/>
    <mergeCell ref="G745:J745"/>
    <mergeCell ref="K844:L844"/>
    <mergeCell ref="D832:M832"/>
    <mergeCell ref="K926:L926"/>
    <mergeCell ref="G881:J881"/>
    <mergeCell ref="K966:L966"/>
    <mergeCell ref="G967:J967"/>
    <mergeCell ref="G880:J880"/>
    <mergeCell ref="K880:L880"/>
    <mergeCell ref="G650:J650"/>
    <mergeCell ref="D659:I659"/>
    <mergeCell ref="D660:I660"/>
    <mergeCell ref="O1220:P1220"/>
    <mergeCell ref="O1221:P1221"/>
    <mergeCell ref="D1118:J1118"/>
    <mergeCell ref="G774:J774"/>
    <mergeCell ref="K774:L774"/>
    <mergeCell ref="G775:J775"/>
    <mergeCell ref="K775:L775"/>
    <mergeCell ref="G776:J776"/>
    <mergeCell ref="K776:L776"/>
    <mergeCell ref="G777:J777"/>
    <mergeCell ref="K777:L777"/>
    <mergeCell ref="G795:J795"/>
    <mergeCell ref="K795:L795"/>
    <mergeCell ref="G796:J796"/>
    <mergeCell ref="K796:L796"/>
    <mergeCell ref="G797:J797"/>
    <mergeCell ref="D1380:F1383"/>
    <mergeCell ref="O832:P832"/>
    <mergeCell ref="D908:M908"/>
    <mergeCell ref="D864:M864"/>
    <mergeCell ref="G844:J844"/>
    <mergeCell ref="K1262:L1262"/>
    <mergeCell ref="G1368:J1368"/>
    <mergeCell ref="K1368:L1368"/>
    <mergeCell ref="D1352:E1352"/>
    <mergeCell ref="G1303:J1303"/>
    <mergeCell ref="D1349:M1349"/>
    <mergeCell ref="O1174:P1174"/>
    <mergeCell ref="O1175:P1175"/>
    <mergeCell ref="G1171:J1171"/>
    <mergeCell ref="K1171:L1171"/>
    <mergeCell ref="G1172:J1172"/>
    <mergeCell ref="K747:L747"/>
    <mergeCell ref="D759:M759"/>
    <mergeCell ref="D688:H688"/>
    <mergeCell ref="K700:L700"/>
    <mergeCell ref="G701:J701"/>
    <mergeCell ref="K701:L701"/>
    <mergeCell ref="E839:F839"/>
    <mergeCell ref="G839:H839"/>
    <mergeCell ref="I839:J839"/>
    <mergeCell ref="G988:J988"/>
    <mergeCell ref="K988:L988"/>
    <mergeCell ref="K986:L986"/>
    <mergeCell ref="G987:J987"/>
    <mergeCell ref="K862:L862"/>
    <mergeCell ref="D707:G707"/>
    <mergeCell ref="D711:G711"/>
    <mergeCell ref="J707:M707"/>
    <mergeCell ref="J711:M711"/>
    <mergeCell ref="J715:K715"/>
    <mergeCell ref="D840:D841"/>
    <mergeCell ref="E840:F841"/>
    <mergeCell ref="G840:H841"/>
    <mergeCell ref="I840:J841"/>
    <mergeCell ref="G927:J927"/>
    <mergeCell ref="G902:J902"/>
    <mergeCell ref="K902:L902"/>
    <mergeCell ref="K881:L881"/>
    <mergeCell ref="G882:J882"/>
    <mergeCell ref="K882:L882"/>
    <mergeCell ref="G883:J883"/>
    <mergeCell ref="K883:L883"/>
    <mergeCell ref="D732:H732"/>
    <mergeCell ref="D687:H687"/>
    <mergeCell ref="E910:F910"/>
    <mergeCell ref="E911:F911"/>
    <mergeCell ref="E912:F912"/>
    <mergeCell ref="G859:J859"/>
    <mergeCell ref="D857:E857"/>
    <mergeCell ref="G1206:G1207"/>
    <mergeCell ref="H1206:H1207"/>
    <mergeCell ref="J1206:J1207"/>
    <mergeCell ref="K1206:K1207"/>
    <mergeCell ref="L1206:L1207"/>
    <mergeCell ref="M1206:M1207"/>
    <mergeCell ref="N1206:N1207"/>
    <mergeCell ref="D907:M907"/>
    <mergeCell ref="I732:J732"/>
    <mergeCell ref="E835:F835"/>
    <mergeCell ref="G835:H835"/>
    <mergeCell ref="I835:J835"/>
    <mergeCell ref="E836:F836"/>
    <mergeCell ref="G836:H836"/>
    <mergeCell ref="I836:J836"/>
    <mergeCell ref="E837:F837"/>
    <mergeCell ref="G837:H837"/>
    <mergeCell ref="I837:J837"/>
    <mergeCell ref="E838:F838"/>
    <mergeCell ref="G838:H838"/>
    <mergeCell ref="D1140:D1141"/>
    <mergeCell ref="E1140:E1141"/>
    <mergeCell ref="F1140:F1141"/>
    <mergeCell ref="G1140:G1141"/>
    <mergeCell ref="H1140:H1141"/>
    <mergeCell ref="M1135:P1144"/>
    <mergeCell ref="M1766:P1774"/>
    <mergeCell ref="D1374:F1374"/>
    <mergeCell ref="D1375:F1375"/>
    <mergeCell ref="D1376:F1376"/>
    <mergeCell ref="D1377:F1377"/>
    <mergeCell ref="D1378:F1378"/>
    <mergeCell ref="D1379:H1379"/>
    <mergeCell ref="D1395:F1395"/>
    <mergeCell ref="D1396:F1396"/>
    <mergeCell ref="D1397:F1397"/>
    <mergeCell ref="D1417:F1417"/>
    <mergeCell ref="D1418:F1418"/>
    <mergeCell ref="D1419:F1419"/>
    <mergeCell ref="D1547:J1547"/>
    <mergeCell ref="I1552:I1553"/>
    <mergeCell ref="D1570:E1570"/>
    <mergeCell ref="D1571:E1571"/>
    <mergeCell ref="D1568:E1569"/>
    <mergeCell ref="D1572:E1572"/>
    <mergeCell ref="D1573:E1574"/>
    <mergeCell ref="F1568:I1568"/>
    <mergeCell ref="F1573:F1574"/>
    <mergeCell ref="G1573:G1574"/>
    <mergeCell ref="H1573:H1574"/>
    <mergeCell ref="I1573:I1574"/>
    <mergeCell ref="D1575:G1575"/>
    <mergeCell ref="L1568:P1572"/>
    <mergeCell ref="D1423:F1423"/>
    <mergeCell ref="D1424:F1424"/>
    <mergeCell ref="D1590:M1590"/>
    <mergeCell ref="G1519:J1519"/>
    <mergeCell ref="G1605:J1605"/>
  </mergeCells>
  <printOptions horizontalCentered="1"/>
  <pageMargins left="0.59055118110236227" right="0.39370078740157483" top="0.59055118110236227" bottom="1.3779527559055118" header="0" footer="0.39370078740157483"/>
  <pageSetup paperSize="9" scale="70" fitToHeight="0" orientation="portrait" r:id="rId1"/>
  <headerFooter alignWithMargins="0">
    <oddFooter>&amp;C&amp;G</oddFooter>
  </headerFooter>
  <rowBreaks count="2" manualBreakCount="2">
    <brk id="400" max="15" man="1"/>
    <brk id="478" max="15"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6077-92DA-4034-829C-16F2C8DCB142}">
  <sheetPr>
    <tabColor rgb="FF7030A0"/>
  </sheetPr>
  <dimension ref="A1:P145"/>
  <sheetViews>
    <sheetView zoomScale="89" zoomScaleNormal="89" workbookViewId="0">
      <selection activeCell="C18" sqref="C18:H18"/>
    </sheetView>
  </sheetViews>
  <sheetFormatPr defaultRowHeight="15" x14ac:dyDescent="0.25"/>
  <cols>
    <col min="1" max="1" width="1.7109375" customWidth="1"/>
    <col min="2" max="15" width="8.7109375" customWidth="1"/>
    <col min="16" max="16" width="1.7109375" customWidth="1"/>
  </cols>
  <sheetData>
    <row r="1" spans="1:16" ht="6.75" customHeight="1" x14ac:dyDescent="0.25">
      <c r="A1" s="1274"/>
      <c r="B1" s="1274"/>
      <c r="C1" s="1274"/>
      <c r="D1" s="1274"/>
      <c r="E1" s="1274"/>
      <c r="F1" s="1274"/>
      <c r="G1" s="1274"/>
      <c r="H1" s="1274"/>
      <c r="I1" s="1274"/>
      <c r="J1" s="1274"/>
      <c r="K1" s="1274"/>
      <c r="L1" s="1274"/>
      <c r="M1" s="1274"/>
      <c r="N1" s="1274"/>
      <c r="O1" s="1274"/>
      <c r="P1" s="1274"/>
    </row>
    <row r="2" spans="1:16" ht="60" customHeight="1" x14ac:dyDescent="0.25">
      <c r="A2" s="1274"/>
      <c r="B2" s="1428" t="s">
        <v>357</v>
      </c>
      <c r="C2" s="1428"/>
      <c r="D2" s="1428"/>
      <c r="E2" s="1428"/>
      <c r="F2" s="1428"/>
      <c r="G2" s="1428"/>
      <c r="H2" s="1428"/>
      <c r="I2" s="1428"/>
      <c r="J2" s="1428"/>
      <c r="K2" s="1428"/>
      <c r="L2" s="1428"/>
      <c r="M2" s="1428"/>
      <c r="N2" s="1428"/>
      <c r="O2" s="1428"/>
      <c r="P2" s="1274"/>
    </row>
    <row r="3" spans="1:16" ht="9.9499999999999993" customHeight="1" thickBot="1" x14ac:dyDescent="0.3">
      <c r="A3" s="1274"/>
      <c r="B3" s="1404"/>
      <c r="C3" s="1404"/>
      <c r="D3" s="1404"/>
      <c r="E3" s="1404"/>
      <c r="F3" s="1404"/>
      <c r="G3" s="1404"/>
      <c r="H3" s="1404"/>
      <c r="I3" s="1404"/>
      <c r="J3" s="1404"/>
      <c r="K3" s="1404"/>
      <c r="L3" s="1404"/>
      <c r="M3" s="1404"/>
      <c r="N3" s="1404"/>
      <c r="O3" s="1404"/>
      <c r="P3" s="1274"/>
    </row>
    <row r="4" spans="1:16" ht="18" customHeight="1" x14ac:dyDescent="0.25">
      <c r="A4" s="1274"/>
      <c r="B4" s="1305" t="s">
        <v>20</v>
      </c>
      <c r="C4" s="1306"/>
      <c r="D4" s="1429" t="str">
        <f>'[26]BM DETALHADO'!C6</f>
        <v>RESTAURARE CONSTRUTORA LTDA</v>
      </c>
      <c r="E4" s="1429"/>
      <c r="F4" s="1429"/>
      <c r="G4" s="1429"/>
      <c r="H4" s="1429"/>
      <c r="I4" s="1429"/>
      <c r="J4" s="1429"/>
      <c r="K4" s="1430"/>
      <c r="L4" s="1431" t="s">
        <v>36</v>
      </c>
      <c r="M4" s="1432"/>
      <c r="N4" s="1433" t="str">
        <f>'BM DETALHADO'!C5</f>
        <v>154/2021</v>
      </c>
      <c r="O4" s="1434"/>
      <c r="P4" s="1274"/>
    </row>
    <row r="5" spans="1:16" ht="18" customHeight="1" thickBot="1" x14ac:dyDescent="0.3">
      <c r="A5" s="1274"/>
      <c r="B5" s="1418" t="s">
        <v>37</v>
      </c>
      <c r="C5" s="1419"/>
      <c r="D5" s="1420">
        <f>'BM DETALHADO'!I7</f>
        <v>44739</v>
      </c>
      <c r="E5" s="1421"/>
      <c r="F5" s="1422" t="s">
        <v>85</v>
      </c>
      <c r="G5" s="1419"/>
      <c r="H5" s="1423">
        <f>'BM DETALHADO'!I5</f>
        <v>10</v>
      </c>
      <c r="I5" s="1424"/>
      <c r="J5" s="1422" t="s">
        <v>90</v>
      </c>
      <c r="K5" s="1419"/>
      <c r="L5" s="1419"/>
      <c r="M5" s="1404" t="str">
        <f>'BM DETALHADO'!I6</f>
        <v>26/07/22 a 25/08/22</v>
      </c>
      <c r="N5" s="1404"/>
      <c r="O5" s="1405"/>
      <c r="P5" s="1274"/>
    </row>
    <row r="6" spans="1:16" ht="18" customHeight="1" x14ac:dyDescent="0.25">
      <c r="A6" s="1274"/>
      <c r="B6" s="1406" t="s">
        <v>89</v>
      </c>
      <c r="C6" s="1407"/>
      <c r="D6" s="1407"/>
      <c r="E6" s="1407"/>
      <c r="F6" s="1407"/>
      <c r="G6" s="1407"/>
      <c r="H6" s="1407"/>
      <c r="I6" s="1407"/>
      <c r="J6" s="1407"/>
      <c r="K6" s="1407"/>
      <c r="L6" s="1407"/>
      <c r="M6" s="1407"/>
      <c r="N6" s="1407"/>
      <c r="O6" s="1408"/>
      <c r="P6" s="1274"/>
    </row>
    <row r="7" spans="1:16" ht="15.75" thickBot="1" x14ac:dyDescent="0.3">
      <c r="A7" s="1274"/>
      <c r="B7" s="1409" t="s">
        <v>383</v>
      </c>
      <c r="C7" s="1410"/>
      <c r="D7" s="1410"/>
      <c r="E7" s="1410"/>
      <c r="F7" s="1410"/>
      <c r="G7" s="1410"/>
      <c r="H7" s="1410"/>
      <c r="I7" s="1410"/>
      <c r="J7" s="1410"/>
      <c r="K7" s="1410"/>
      <c r="L7" s="1410"/>
      <c r="M7" s="1410"/>
      <c r="N7" s="1410"/>
      <c r="O7" s="1411"/>
      <c r="P7" s="1274"/>
    </row>
    <row r="8" spans="1:16" ht="24" customHeight="1" x14ac:dyDescent="0.25">
      <c r="A8" s="1274"/>
      <c r="B8" s="1412" t="s">
        <v>358</v>
      </c>
      <c r="C8" s="1413"/>
      <c r="D8" s="1413"/>
      <c r="E8" s="1413"/>
      <c r="F8" s="1413"/>
      <c r="G8" s="1413"/>
      <c r="H8" s="1413"/>
      <c r="I8" s="1413">
        <f>ROUND(H122*F122,2)</f>
        <v>0</v>
      </c>
      <c r="J8" s="1413"/>
      <c r="K8" s="1413"/>
      <c r="L8" s="1413"/>
      <c r="M8" s="1413"/>
      <c r="N8" s="1413"/>
      <c r="O8" s="1425"/>
      <c r="P8" s="1274"/>
    </row>
    <row r="9" spans="1:16" ht="24" customHeight="1" x14ac:dyDescent="0.25">
      <c r="A9" s="1274"/>
      <c r="B9" s="1414"/>
      <c r="C9" s="1415"/>
      <c r="D9" s="1415"/>
      <c r="E9" s="1415"/>
      <c r="F9" s="1415"/>
      <c r="G9" s="1415"/>
      <c r="H9" s="1415"/>
      <c r="I9" s="1415"/>
      <c r="J9" s="1415"/>
      <c r="K9" s="1415"/>
      <c r="L9" s="1415"/>
      <c r="M9" s="1415"/>
      <c r="N9" s="1415"/>
      <c r="O9" s="1426"/>
      <c r="P9" s="1274"/>
    </row>
    <row r="10" spans="1:16" ht="24" customHeight="1" x14ac:dyDescent="0.25">
      <c r="A10" s="1274"/>
      <c r="B10" s="1414"/>
      <c r="C10" s="1415"/>
      <c r="D10" s="1415"/>
      <c r="E10" s="1415"/>
      <c r="F10" s="1415"/>
      <c r="G10" s="1415"/>
      <c r="H10" s="1415"/>
      <c r="I10" s="1415"/>
      <c r="J10" s="1415"/>
      <c r="K10" s="1415"/>
      <c r="L10" s="1415"/>
      <c r="M10" s="1415"/>
      <c r="N10" s="1415"/>
      <c r="O10" s="1426"/>
      <c r="P10" s="1274"/>
    </row>
    <row r="11" spans="1:16" ht="24" customHeight="1" x14ac:dyDescent="0.25">
      <c r="A11" s="1274"/>
      <c r="B11" s="1414"/>
      <c r="C11" s="1415"/>
      <c r="D11" s="1415"/>
      <c r="E11" s="1415"/>
      <c r="F11" s="1415"/>
      <c r="G11" s="1415"/>
      <c r="H11" s="1415"/>
      <c r="I11" s="1415"/>
      <c r="J11" s="1415"/>
      <c r="K11" s="1415"/>
      <c r="L11" s="1415"/>
      <c r="M11" s="1415"/>
      <c r="N11" s="1415"/>
      <c r="O11" s="1426"/>
      <c r="P11" s="1274"/>
    </row>
    <row r="12" spans="1:16" ht="24" customHeight="1" x14ac:dyDescent="0.25">
      <c r="A12" s="1274"/>
      <c r="B12" s="1414"/>
      <c r="C12" s="1415"/>
      <c r="D12" s="1415"/>
      <c r="E12" s="1415"/>
      <c r="F12" s="1415"/>
      <c r="G12" s="1415"/>
      <c r="H12" s="1415"/>
      <c r="I12" s="1415"/>
      <c r="J12" s="1415"/>
      <c r="K12" s="1415"/>
      <c r="L12" s="1415"/>
      <c r="M12" s="1415"/>
      <c r="N12" s="1415"/>
      <c r="O12" s="1426"/>
      <c r="P12" s="1274"/>
    </row>
    <row r="13" spans="1:16" ht="24" customHeight="1" x14ac:dyDescent="0.25">
      <c r="A13" s="1274"/>
      <c r="B13" s="1414"/>
      <c r="C13" s="1415"/>
      <c r="D13" s="1415"/>
      <c r="E13" s="1415"/>
      <c r="F13" s="1415"/>
      <c r="G13" s="1415"/>
      <c r="H13" s="1415"/>
      <c r="I13" s="1415"/>
      <c r="J13" s="1415"/>
      <c r="K13" s="1415"/>
      <c r="L13" s="1415"/>
      <c r="M13" s="1415"/>
      <c r="N13" s="1415"/>
      <c r="O13" s="1426"/>
      <c r="P13" s="1274"/>
    </row>
    <row r="14" spans="1:16" ht="24" customHeight="1" x14ac:dyDescent="0.25">
      <c r="A14" s="1274"/>
      <c r="B14" s="1414"/>
      <c r="C14" s="1415"/>
      <c r="D14" s="1415"/>
      <c r="E14" s="1415"/>
      <c r="F14" s="1415"/>
      <c r="G14" s="1415"/>
      <c r="H14" s="1415"/>
      <c r="I14" s="1415"/>
      <c r="J14" s="1415"/>
      <c r="K14" s="1415"/>
      <c r="L14" s="1415"/>
      <c r="M14" s="1415"/>
      <c r="N14" s="1415"/>
      <c r="O14" s="1426"/>
      <c r="P14" s="1274"/>
    </row>
    <row r="15" spans="1:16" ht="24" customHeight="1" x14ac:dyDescent="0.25">
      <c r="A15" s="1274"/>
      <c r="B15" s="1414"/>
      <c r="C15" s="1415"/>
      <c r="D15" s="1415"/>
      <c r="E15" s="1415"/>
      <c r="F15" s="1415"/>
      <c r="G15" s="1415"/>
      <c r="H15" s="1415"/>
      <c r="I15" s="1415"/>
      <c r="J15" s="1415"/>
      <c r="K15" s="1415"/>
      <c r="L15" s="1415"/>
      <c r="M15" s="1415"/>
      <c r="N15" s="1415"/>
      <c r="O15" s="1426"/>
      <c r="P15" s="1274"/>
    </row>
    <row r="16" spans="1:16" ht="24" customHeight="1" x14ac:dyDescent="0.25">
      <c r="A16" s="1274"/>
      <c r="B16" s="1414"/>
      <c r="C16" s="1415"/>
      <c r="D16" s="1415"/>
      <c r="E16" s="1415"/>
      <c r="F16" s="1415"/>
      <c r="G16" s="1415"/>
      <c r="H16" s="1415"/>
      <c r="I16" s="1415"/>
      <c r="J16" s="1415"/>
      <c r="K16" s="1415"/>
      <c r="L16" s="1415"/>
      <c r="M16" s="1415"/>
      <c r="N16" s="1415"/>
      <c r="O16" s="1426"/>
      <c r="P16" s="1274"/>
    </row>
    <row r="17" spans="1:16" ht="24" customHeight="1" x14ac:dyDescent="0.25">
      <c r="A17" s="1274"/>
      <c r="B17" s="1416"/>
      <c r="C17" s="1417"/>
      <c r="D17" s="1417"/>
      <c r="E17" s="1417"/>
      <c r="F17" s="1417"/>
      <c r="G17" s="1417"/>
      <c r="H17" s="1417"/>
      <c r="I17" s="1417"/>
      <c r="J17" s="1417"/>
      <c r="K17" s="1417"/>
      <c r="L17" s="1417"/>
      <c r="M17" s="1417"/>
      <c r="N17" s="1417"/>
      <c r="O17" s="1427"/>
      <c r="P17" s="1274"/>
    </row>
    <row r="18" spans="1:16" ht="29.1" customHeight="1" thickBot="1" x14ac:dyDescent="0.3">
      <c r="A18" s="1274"/>
      <c r="B18" s="485" t="s">
        <v>359</v>
      </c>
      <c r="C18" s="1435"/>
      <c r="D18" s="1436"/>
      <c r="E18" s="1436"/>
      <c r="F18" s="1436"/>
      <c r="G18" s="1436"/>
      <c r="H18" s="1436"/>
      <c r="I18" s="486" t="s">
        <v>360</v>
      </c>
      <c r="J18" s="1435"/>
      <c r="K18" s="1436"/>
      <c r="L18" s="1436"/>
      <c r="M18" s="1436"/>
      <c r="N18" s="1436"/>
      <c r="O18" s="1439"/>
      <c r="P18" s="1274"/>
    </row>
    <row r="19" spans="1:16" ht="24" customHeight="1" x14ac:dyDescent="0.25">
      <c r="A19" s="1274"/>
      <c r="B19" s="1414" t="s">
        <v>358</v>
      </c>
      <c r="C19" s="1415"/>
      <c r="D19" s="1415"/>
      <c r="E19" s="1415"/>
      <c r="F19" s="1415"/>
      <c r="G19" s="1415"/>
      <c r="H19" s="1415"/>
      <c r="I19" s="1415" t="s">
        <v>358</v>
      </c>
      <c r="J19" s="1415"/>
      <c r="K19" s="1415"/>
      <c r="L19" s="1415"/>
      <c r="M19" s="1415"/>
      <c r="N19" s="1415"/>
      <c r="O19" s="1426"/>
      <c r="P19" s="1274"/>
    </row>
    <row r="20" spans="1:16" ht="24" customHeight="1" x14ac:dyDescent="0.25">
      <c r="A20" s="1274"/>
      <c r="B20" s="1414"/>
      <c r="C20" s="1415"/>
      <c r="D20" s="1415"/>
      <c r="E20" s="1415"/>
      <c r="F20" s="1415"/>
      <c r="G20" s="1415"/>
      <c r="H20" s="1415"/>
      <c r="I20" s="1415"/>
      <c r="J20" s="1415"/>
      <c r="K20" s="1415"/>
      <c r="L20" s="1415"/>
      <c r="M20" s="1415"/>
      <c r="N20" s="1415"/>
      <c r="O20" s="1426"/>
      <c r="P20" s="1274"/>
    </row>
    <row r="21" spans="1:16" ht="24" customHeight="1" x14ac:dyDescent="0.25">
      <c r="A21" s="1274"/>
      <c r="B21" s="1414"/>
      <c r="C21" s="1415"/>
      <c r="D21" s="1415"/>
      <c r="E21" s="1415"/>
      <c r="F21" s="1415"/>
      <c r="G21" s="1415"/>
      <c r="H21" s="1415"/>
      <c r="I21" s="1415"/>
      <c r="J21" s="1415"/>
      <c r="K21" s="1415"/>
      <c r="L21" s="1415"/>
      <c r="M21" s="1415"/>
      <c r="N21" s="1415"/>
      <c r="O21" s="1426"/>
      <c r="P21" s="1274"/>
    </row>
    <row r="22" spans="1:16" ht="24" customHeight="1" x14ac:dyDescent="0.25">
      <c r="A22" s="1274"/>
      <c r="B22" s="1414"/>
      <c r="C22" s="1415"/>
      <c r="D22" s="1415"/>
      <c r="E22" s="1415"/>
      <c r="F22" s="1415"/>
      <c r="G22" s="1415"/>
      <c r="H22" s="1415"/>
      <c r="I22" s="1415"/>
      <c r="J22" s="1415"/>
      <c r="K22" s="1415"/>
      <c r="L22" s="1415"/>
      <c r="M22" s="1415"/>
      <c r="N22" s="1415"/>
      <c r="O22" s="1426"/>
      <c r="P22" s="1274"/>
    </row>
    <row r="23" spans="1:16" ht="24" customHeight="1" x14ac:dyDescent="0.25">
      <c r="A23" s="1274"/>
      <c r="B23" s="1414"/>
      <c r="C23" s="1415"/>
      <c r="D23" s="1415"/>
      <c r="E23" s="1415"/>
      <c r="F23" s="1415"/>
      <c r="G23" s="1415"/>
      <c r="H23" s="1415"/>
      <c r="I23" s="1415"/>
      <c r="J23" s="1415"/>
      <c r="K23" s="1415"/>
      <c r="L23" s="1415"/>
      <c r="M23" s="1415"/>
      <c r="N23" s="1415"/>
      <c r="O23" s="1426"/>
      <c r="P23" s="1274"/>
    </row>
    <row r="24" spans="1:16" ht="24" customHeight="1" x14ac:dyDescent="0.25">
      <c r="A24" s="1274"/>
      <c r="B24" s="1414"/>
      <c r="C24" s="1415"/>
      <c r="D24" s="1415"/>
      <c r="E24" s="1415"/>
      <c r="F24" s="1415"/>
      <c r="G24" s="1415"/>
      <c r="H24" s="1415"/>
      <c r="I24" s="1415"/>
      <c r="J24" s="1415"/>
      <c r="K24" s="1415"/>
      <c r="L24" s="1415"/>
      <c r="M24" s="1415"/>
      <c r="N24" s="1415"/>
      <c r="O24" s="1426"/>
      <c r="P24" s="1274"/>
    </row>
    <row r="25" spans="1:16" ht="24" customHeight="1" x14ac:dyDescent="0.25">
      <c r="A25" s="1274"/>
      <c r="B25" s="1414"/>
      <c r="C25" s="1415"/>
      <c r="D25" s="1415"/>
      <c r="E25" s="1415"/>
      <c r="F25" s="1415"/>
      <c r="G25" s="1415"/>
      <c r="H25" s="1415"/>
      <c r="I25" s="1415"/>
      <c r="J25" s="1415"/>
      <c r="K25" s="1415"/>
      <c r="L25" s="1415"/>
      <c r="M25" s="1415"/>
      <c r="N25" s="1415"/>
      <c r="O25" s="1426"/>
      <c r="P25" s="1274"/>
    </row>
    <row r="26" spans="1:16" ht="24" customHeight="1" x14ac:dyDescent="0.25">
      <c r="A26" s="1274"/>
      <c r="B26" s="1414"/>
      <c r="C26" s="1415"/>
      <c r="D26" s="1415"/>
      <c r="E26" s="1415"/>
      <c r="F26" s="1415"/>
      <c r="G26" s="1415"/>
      <c r="H26" s="1415"/>
      <c r="I26" s="1415"/>
      <c r="J26" s="1415"/>
      <c r="K26" s="1415"/>
      <c r="L26" s="1415"/>
      <c r="M26" s="1415"/>
      <c r="N26" s="1415"/>
      <c r="O26" s="1426"/>
      <c r="P26" s="1274"/>
    </row>
    <row r="27" spans="1:16" ht="24" customHeight="1" x14ac:dyDescent="0.25">
      <c r="A27" s="1274"/>
      <c r="B27" s="1414"/>
      <c r="C27" s="1415"/>
      <c r="D27" s="1415"/>
      <c r="E27" s="1415"/>
      <c r="F27" s="1415"/>
      <c r="G27" s="1415"/>
      <c r="H27" s="1415"/>
      <c r="I27" s="1415"/>
      <c r="J27" s="1415"/>
      <c r="K27" s="1415"/>
      <c r="L27" s="1415"/>
      <c r="M27" s="1415"/>
      <c r="N27" s="1415"/>
      <c r="O27" s="1426"/>
      <c r="P27" s="1274"/>
    </row>
    <row r="28" spans="1:16" ht="24" customHeight="1" x14ac:dyDescent="0.25">
      <c r="A28" s="1274"/>
      <c r="B28" s="1416"/>
      <c r="C28" s="1417"/>
      <c r="D28" s="1417"/>
      <c r="E28" s="1417"/>
      <c r="F28" s="1417"/>
      <c r="G28" s="1417"/>
      <c r="H28" s="1417"/>
      <c r="I28" s="1417"/>
      <c r="J28" s="1417"/>
      <c r="K28" s="1417"/>
      <c r="L28" s="1417"/>
      <c r="M28" s="1417"/>
      <c r="N28" s="1417"/>
      <c r="O28" s="1427"/>
      <c r="P28" s="1274"/>
    </row>
    <row r="29" spans="1:16" ht="29.1" customHeight="1" thickBot="1" x14ac:dyDescent="0.3">
      <c r="A29" s="1274"/>
      <c r="B29" s="485" t="s">
        <v>361</v>
      </c>
      <c r="C29" s="1435"/>
      <c r="D29" s="1436"/>
      <c r="E29" s="1436"/>
      <c r="F29" s="1436"/>
      <c r="G29" s="1436"/>
      <c r="H29" s="1436"/>
      <c r="I29" s="486" t="s">
        <v>362</v>
      </c>
      <c r="J29" s="1437"/>
      <c r="K29" s="1437"/>
      <c r="L29" s="1437"/>
      <c r="M29" s="1437"/>
      <c r="N29" s="1437"/>
      <c r="O29" s="1438"/>
      <c r="P29" s="1274"/>
    </row>
    <row r="30" spans="1:16" ht="24" customHeight="1" x14ac:dyDescent="0.25">
      <c r="A30" s="1274"/>
      <c r="B30" s="1414" t="s">
        <v>358</v>
      </c>
      <c r="C30" s="1415"/>
      <c r="D30" s="1415"/>
      <c r="E30" s="1415"/>
      <c r="F30" s="1415"/>
      <c r="G30" s="1415"/>
      <c r="H30" s="1415"/>
      <c r="I30" s="1415" t="s">
        <v>358</v>
      </c>
      <c r="J30" s="1415"/>
      <c r="K30" s="1415"/>
      <c r="L30" s="1415"/>
      <c r="M30" s="1415"/>
      <c r="N30" s="1415"/>
      <c r="O30" s="1426"/>
      <c r="P30" s="1274"/>
    </row>
    <row r="31" spans="1:16" ht="24" customHeight="1" x14ac:dyDescent="0.25">
      <c r="A31" s="1274"/>
      <c r="B31" s="1414"/>
      <c r="C31" s="1415"/>
      <c r="D31" s="1415"/>
      <c r="E31" s="1415"/>
      <c r="F31" s="1415"/>
      <c r="G31" s="1415"/>
      <c r="H31" s="1415"/>
      <c r="I31" s="1415"/>
      <c r="J31" s="1415"/>
      <c r="K31" s="1415"/>
      <c r="L31" s="1415"/>
      <c r="M31" s="1415"/>
      <c r="N31" s="1415"/>
      <c r="O31" s="1426"/>
      <c r="P31" s="1274"/>
    </row>
    <row r="32" spans="1:16" ht="24" customHeight="1" x14ac:dyDescent="0.25">
      <c r="A32" s="1274"/>
      <c r="B32" s="1414"/>
      <c r="C32" s="1415"/>
      <c r="D32" s="1415"/>
      <c r="E32" s="1415"/>
      <c r="F32" s="1415"/>
      <c r="G32" s="1415"/>
      <c r="H32" s="1415"/>
      <c r="I32" s="1415"/>
      <c r="J32" s="1415"/>
      <c r="K32" s="1415"/>
      <c r="L32" s="1415"/>
      <c r="M32" s="1415"/>
      <c r="N32" s="1415"/>
      <c r="O32" s="1426"/>
      <c r="P32" s="1274"/>
    </row>
    <row r="33" spans="1:16" ht="24" customHeight="1" x14ac:dyDescent="0.25">
      <c r="A33" s="1274"/>
      <c r="B33" s="1414"/>
      <c r="C33" s="1415"/>
      <c r="D33" s="1415"/>
      <c r="E33" s="1415"/>
      <c r="F33" s="1415"/>
      <c r="G33" s="1415"/>
      <c r="H33" s="1415"/>
      <c r="I33" s="1415"/>
      <c r="J33" s="1415"/>
      <c r="K33" s="1415"/>
      <c r="L33" s="1415"/>
      <c r="M33" s="1415"/>
      <c r="N33" s="1415"/>
      <c r="O33" s="1426"/>
      <c r="P33" s="1274"/>
    </row>
    <row r="34" spans="1:16" ht="24" customHeight="1" x14ac:dyDescent="0.25">
      <c r="A34" s="1274"/>
      <c r="B34" s="1414"/>
      <c r="C34" s="1415"/>
      <c r="D34" s="1415"/>
      <c r="E34" s="1415"/>
      <c r="F34" s="1415"/>
      <c r="G34" s="1415"/>
      <c r="H34" s="1415"/>
      <c r="I34" s="1415"/>
      <c r="J34" s="1415"/>
      <c r="K34" s="1415"/>
      <c r="L34" s="1415"/>
      <c r="M34" s="1415"/>
      <c r="N34" s="1415"/>
      <c r="O34" s="1426"/>
      <c r="P34" s="1274"/>
    </row>
    <row r="35" spans="1:16" ht="24" customHeight="1" x14ac:dyDescent="0.25">
      <c r="A35" s="1274"/>
      <c r="B35" s="1414"/>
      <c r="C35" s="1415"/>
      <c r="D35" s="1415"/>
      <c r="E35" s="1415"/>
      <c r="F35" s="1415"/>
      <c r="G35" s="1415"/>
      <c r="H35" s="1415"/>
      <c r="I35" s="1415"/>
      <c r="J35" s="1415"/>
      <c r="K35" s="1415"/>
      <c r="L35" s="1415"/>
      <c r="M35" s="1415"/>
      <c r="N35" s="1415"/>
      <c r="O35" s="1426"/>
      <c r="P35" s="1274"/>
    </row>
    <row r="36" spans="1:16" ht="24" customHeight="1" x14ac:dyDescent="0.25">
      <c r="A36" s="1274"/>
      <c r="B36" s="1414"/>
      <c r="C36" s="1415"/>
      <c r="D36" s="1415"/>
      <c r="E36" s="1415"/>
      <c r="F36" s="1415"/>
      <c r="G36" s="1415"/>
      <c r="H36" s="1415"/>
      <c r="I36" s="1415"/>
      <c r="J36" s="1415"/>
      <c r="K36" s="1415"/>
      <c r="L36" s="1415"/>
      <c r="M36" s="1415"/>
      <c r="N36" s="1415"/>
      <c r="O36" s="1426"/>
      <c r="P36" s="1274"/>
    </row>
    <row r="37" spans="1:16" ht="24" customHeight="1" x14ac:dyDescent="0.25">
      <c r="A37" s="1274"/>
      <c r="B37" s="1414"/>
      <c r="C37" s="1415"/>
      <c r="D37" s="1415"/>
      <c r="E37" s="1415"/>
      <c r="F37" s="1415"/>
      <c r="G37" s="1415"/>
      <c r="H37" s="1415"/>
      <c r="I37" s="1415"/>
      <c r="J37" s="1415"/>
      <c r="K37" s="1415"/>
      <c r="L37" s="1415"/>
      <c r="M37" s="1415"/>
      <c r="N37" s="1415"/>
      <c r="O37" s="1426"/>
      <c r="P37" s="1274"/>
    </row>
    <row r="38" spans="1:16" ht="24" customHeight="1" x14ac:dyDescent="0.25">
      <c r="A38" s="1274"/>
      <c r="B38" s="1414"/>
      <c r="C38" s="1415"/>
      <c r="D38" s="1415"/>
      <c r="E38" s="1415"/>
      <c r="F38" s="1415"/>
      <c r="G38" s="1415"/>
      <c r="H38" s="1415"/>
      <c r="I38" s="1415"/>
      <c r="J38" s="1415"/>
      <c r="K38" s="1415"/>
      <c r="L38" s="1415"/>
      <c r="M38" s="1415"/>
      <c r="N38" s="1415"/>
      <c r="O38" s="1426"/>
      <c r="P38" s="1274"/>
    </row>
    <row r="39" spans="1:16" ht="24" customHeight="1" x14ac:dyDescent="0.25">
      <c r="A39" s="1274"/>
      <c r="B39" s="1416"/>
      <c r="C39" s="1417"/>
      <c r="D39" s="1417"/>
      <c r="E39" s="1417"/>
      <c r="F39" s="1417"/>
      <c r="G39" s="1417"/>
      <c r="H39" s="1417"/>
      <c r="I39" s="1417"/>
      <c r="J39" s="1417"/>
      <c r="K39" s="1417"/>
      <c r="L39" s="1417"/>
      <c r="M39" s="1417"/>
      <c r="N39" s="1417"/>
      <c r="O39" s="1427"/>
      <c r="P39" s="1274"/>
    </row>
    <row r="40" spans="1:16" ht="29.1" customHeight="1" thickBot="1" x14ac:dyDescent="0.3">
      <c r="A40" s="1274"/>
      <c r="B40" s="485" t="s">
        <v>363</v>
      </c>
      <c r="C40" s="1435"/>
      <c r="D40" s="1436"/>
      <c r="E40" s="1436"/>
      <c r="F40" s="1436"/>
      <c r="G40" s="1436"/>
      <c r="H40" s="1436"/>
      <c r="I40" s="486" t="s">
        <v>364</v>
      </c>
      <c r="J40" s="1437"/>
      <c r="K40" s="1437"/>
      <c r="L40" s="1437"/>
      <c r="M40" s="1437"/>
      <c r="N40" s="1437"/>
      <c r="O40" s="1438"/>
      <c r="P40" s="1274"/>
    </row>
    <row r="41" spans="1:16" ht="99.95" customHeight="1" x14ac:dyDescent="0.25">
      <c r="A41" s="1274"/>
      <c r="B41" s="1447"/>
      <c r="C41" s="1447"/>
      <c r="D41" s="1447"/>
      <c r="E41" s="1447"/>
      <c r="F41" s="1447"/>
      <c r="G41" s="1447"/>
      <c r="H41" s="1447"/>
      <c r="I41" s="1447"/>
      <c r="J41" s="1447"/>
      <c r="K41" s="1447"/>
      <c r="L41" s="1447"/>
      <c r="M41" s="1447"/>
      <c r="N41" s="1447"/>
      <c r="O41" s="1447"/>
      <c r="P41" s="1274"/>
    </row>
    <row r="42" spans="1:16" ht="24.95" customHeight="1" thickBot="1" x14ac:dyDescent="0.3">
      <c r="A42" s="1274"/>
      <c r="B42" s="1448"/>
      <c r="C42" s="1448"/>
      <c r="D42" s="1448"/>
      <c r="E42" s="1448"/>
      <c r="F42" s="1448"/>
      <c r="G42" s="1448"/>
      <c r="H42" s="1448"/>
      <c r="I42" s="1448"/>
      <c r="J42" s="1448"/>
      <c r="K42" s="1448"/>
      <c r="L42" s="1448"/>
      <c r="M42" s="1448"/>
      <c r="N42" s="1448"/>
      <c r="O42" s="1448"/>
      <c r="P42" s="1274"/>
    </row>
    <row r="43" spans="1:16" ht="24" customHeight="1" x14ac:dyDescent="0.25">
      <c r="A43" s="1274"/>
      <c r="B43" s="1414"/>
      <c r="C43" s="1415"/>
      <c r="D43" s="1415"/>
      <c r="E43" s="1415"/>
      <c r="F43" s="1415"/>
      <c r="G43" s="1415"/>
      <c r="H43" s="1415"/>
      <c r="I43" s="1415" t="s">
        <v>358</v>
      </c>
      <c r="J43" s="1415"/>
      <c r="K43" s="1415"/>
      <c r="L43" s="1415"/>
      <c r="M43" s="1415"/>
      <c r="N43" s="1415"/>
      <c r="O43" s="1426"/>
      <c r="P43" s="1274"/>
    </row>
    <row r="44" spans="1:16" ht="24" customHeight="1" x14ac:dyDescent="0.25">
      <c r="A44" s="1274"/>
      <c r="B44" s="1414"/>
      <c r="C44" s="1415"/>
      <c r="D44" s="1415"/>
      <c r="E44" s="1415"/>
      <c r="F44" s="1415"/>
      <c r="G44" s="1415"/>
      <c r="H44" s="1415"/>
      <c r="I44" s="1415"/>
      <c r="J44" s="1415"/>
      <c r="K44" s="1415"/>
      <c r="L44" s="1415"/>
      <c r="M44" s="1415"/>
      <c r="N44" s="1415"/>
      <c r="O44" s="1426"/>
      <c r="P44" s="1274"/>
    </row>
    <row r="45" spans="1:16" ht="24" customHeight="1" x14ac:dyDescent="0.25">
      <c r="A45" s="1274"/>
      <c r="B45" s="1414"/>
      <c r="C45" s="1415"/>
      <c r="D45" s="1415"/>
      <c r="E45" s="1415"/>
      <c r="F45" s="1415"/>
      <c r="G45" s="1415"/>
      <c r="H45" s="1415"/>
      <c r="I45" s="1415"/>
      <c r="J45" s="1415"/>
      <c r="K45" s="1415"/>
      <c r="L45" s="1415"/>
      <c r="M45" s="1415"/>
      <c r="N45" s="1415"/>
      <c r="O45" s="1426"/>
      <c r="P45" s="1274"/>
    </row>
    <row r="46" spans="1:16" ht="24" customHeight="1" x14ac:dyDescent="0.25">
      <c r="A46" s="1274"/>
      <c r="B46" s="1414"/>
      <c r="C46" s="1415"/>
      <c r="D46" s="1415"/>
      <c r="E46" s="1415"/>
      <c r="F46" s="1415"/>
      <c r="G46" s="1415"/>
      <c r="H46" s="1415"/>
      <c r="I46" s="1415"/>
      <c r="J46" s="1415"/>
      <c r="K46" s="1415"/>
      <c r="L46" s="1415"/>
      <c r="M46" s="1415"/>
      <c r="N46" s="1415"/>
      <c r="O46" s="1426"/>
      <c r="P46" s="1274"/>
    </row>
    <row r="47" spans="1:16" ht="24" customHeight="1" x14ac:dyDescent="0.25">
      <c r="A47" s="1274"/>
      <c r="B47" s="1414"/>
      <c r="C47" s="1415"/>
      <c r="D47" s="1415"/>
      <c r="E47" s="1415"/>
      <c r="F47" s="1415"/>
      <c r="G47" s="1415"/>
      <c r="H47" s="1415"/>
      <c r="I47" s="1415"/>
      <c r="J47" s="1415"/>
      <c r="K47" s="1415"/>
      <c r="L47" s="1415"/>
      <c r="M47" s="1415"/>
      <c r="N47" s="1415"/>
      <c r="O47" s="1426"/>
      <c r="P47" s="1274"/>
    </row>
    <row r="48" spans="1:16" ht="24" customHeight="1" x14ac:dyDescent="0.25">
      <c r="A48" s="1274"/>
      <c r="B48" s="1414"/>
      <c r="C48" s="1415"/>
      <c r="D48" s="1415"/>
      <c r="E48" s="1415"/>
      <c r="F48" s="1415"/>
      <c r="G48" s="1415"/>
      <c r="H48" s="1415"/>
      <c r="I48" s="1415"/>
      <c r="J48" s="1415"/>
      <c r="K48" s="1415"/>
      <c r="L48" s="1415"/>
      <c r="M48" s="1415"/>
      <c r="N48" s="1415"/>
      <c r="O48" s="1426"/>
      <c r="P48" s="1274"/>
    </row>
    <row r="49" spans="1:16" ht="24" customHeight="1" x14ac:dyDescent="0.25">
      <c r="A49" s="1274"/>
      <c r="B49" s="1414"/>
      <c r="C49" s="1415"/>
      <c r="D49" s="1415"/>
      <c r="E49" s="1415"/>
      <c r="F49" s="1415"/>
      <c r="G49" s="1415"/>
      <c r="H49" s="1415"/>
      <c r="I49" s="1415"/>
      <c r="J49" s="1415"/>
      <c r="K49" s="1415"/>
      <c r="L49" s="1415"/>
      <c r="M49" s="1415"/>
      <c r="N49" s="1415"/>
      <c r="O49" s="1426"/>
      <c r="P49" s="1274"/>
    </row>
    <row r="50" spans="1:16" ht="24" customHeight="1" x14ac:dyDescent="0.25">
      <c r="A50" s="1274"/>
      <c r="B50" s="1414"/>
      <c r="C50" s="1415"/>
      <c r="D50" s="1415"/>
      <c r="E50" s="1415"/>
      <c r="F50" s="1415"/>
      <c r="G50" s="1415"/>
      <c r="H50" s="1415"/>
      <c r="I50" s="1415"/>
      <c r="J50" s="1415"/>
      <c r="K50" s="1415"/>
      <c r="L50" s="1415"/>
      <c r="M50" s="1415"/>
      <c r="N50" s="1415"/>
      <c r="O50" s="1426"/>
      <c r="P50" s="1274"/>
    </row>
    <row r="51" spans="1:16" ht="24" customHeight="1" x14ac:dyDescent="0.25">
      <c r="A51" s="1274"/>
      <c r="B51" s="1414"/>
      <c r="C51" s="1415"/>
      <c r="D51" s="1415"/>
      <c r="E51" s="1415"/>
      <c r="F51" s="1415"/>
      <c r="G51" s="1415"/>
      <c r="H51" s="1415"/>
      <c r="I51" s="1415"/>
      <c r="J51" s="1415"/>
      <c r="K51" s="1415"/>
      <c r="L51" s="1415"/>
      <c r="M51" s="1415"/>
      <c r="N51" s="1415"/>
      <c r="O51" s="1426"/>
      <c r="P51" s="1274"/>
    </row>
    <row r="52" spans="1:16" ht="24" customHeight="1" x14ac:dyDescent="0.25">
      <c r="A52" s="1274"/>
      <c r="B52" s="1416"/>
      <c r="C52" s="1417"/>
      <c r="D52" s="1417"/>
      <c r="E52" s="1417"/>
      <c r="F52" s="1417"/>
      <c r="G52" s="1417"/>
      <c r="H52" s="1417"/>
      <c r="I52" s="1417"/>
      <c r="J52" s="1417"/>
      <c r="K52" s="1417"/>
      <c r="L52" s="1417"/>
      <c r="M52" s="1417"/>
      <c r="N52" s="1417"/>
      <c r="O52" s="1427"/>
      <c r="P52" s="1274"/>
    </row>
    <row r="53" spans="1:16" ht="29.1" customHeight="1" thickBot="1" x14ac:dyDescent="0.3">
      <c r="A53" s="1274"/>
      <c r="B53" s="485" t="s">
        <v>365</v>
      </c>
      <c r="C53" s="1435"/>
      <c r="D53" s="1436"/>
      <c r="E53" s="1436"/>
      <c r="F53" s="1436"/>
      <c r="G53" s="1436"/>
      <c r="H53" s="1436"/>
      <c r="I53" s="486" t="s">
        <v>366</v>
      </c>
      <c r="J53" s="1440"/>
      <c r="K53" s="1440"/>
      <c r="L53" s="1440"/>
      <c r="M53" s="1440"/>
      <c r="N53" s="1440"/>
      <c r="O53" s="1441"/>
      <c r="P53" s="1274"/>
    </row>
    <row r="54" spans="1:16" ht="24" customHeight="1" x14ac:dyDescent="0.25">
      <c r="A54" s="1274"/>
      <c r="B54" s="1414" t="s">
        <v>358</v>
      </c>
      <c r="C54" s="1415"/>
      <c r="D54" s="1415"/>
      <c r="E54" s="1415"/>
      <c r="F54" s="1415"/>
      <c r="G54" s="1415"/>
      <c r="H54" s="1415"/>
      <c r="I54" s="1415" t="s">
        <v>358</v>
      </c>
      <c r="J54" s="1415"/>
      <c r="K54" s="1415"/>
      <c r="L54" s="1415"/>
      <c r="M54" s="1415"/>
      <c r="N54" s="1415"/>
      <c r="O54" s="1426"/>
      <c r="P54" s="1274"/>
    </row>
    <row r="55" spans="1:16" ht="24" customHeight="1" x14ac:dyDescent="0.25">
      <c r="A55" s="1274"/>
      <c r="B55" s="1414"/>
      <c r="C55" s="1415"/>
      <c r="D55" s="1415"/>
      <c r="E55" s="1415"/>
      <c r="F55" s="1415"/>
      <c r="G55" s="1415"/>
      <c r="H55" s="1415"/>
      <c r="I55" s="1415"/>
      <c r="J55" s="1415"/>
      <c r="K55" s="1415"/>
      <c r="L55" s="1415"/>
      <c r="M55" s="1415"/>
      <c r="N55" s="1415"/>
      <c r="O55" s="1426"/>
      <c r="P55" s="1274"/>
    </row>
    <row r="56" spans="1:16" ht="24" customHeight="1" x14ac:dyDescent="0.25">
      <c r="A56" s="1274"/>
      <c r="B56" s="1414"/>
      <c r="C56" s="1415"/>
      <c r="D56" s="1415"/>
      <c r="E56" s="1415"/>
      <c r="F56" s="1415"/>
      <c r="G56" s="1415"/>
      <c r="H56" s="1415"/>
      <c r="I56" s="1415"/>
      <c r="J56" s="1415"/>
      <c r="K56" s="1415"/>
      <c r="L56" s="1415"/>
      <c r="M56" s="1415"/>
      <c r="N56" s="1415"/>
      <c r="O56" s="1426"/>
      <c r="P56" s="1274"/>
    </row>
    <row r="57" spans="1:16" ht="24" customHeight="1" x14ac:dyDescent="0.25">
      <c r="A57" s="1274"/>
      <c r="B57" s="1414"/>
      <c r="C57" s="1415"/>
      <c r="D57" s="1415"/>
      <c r="E57" s="1415"/>
      <c r="F57" s="1415"/>
      <c r="G57" s="1415"/>
      <c r="H57" s="1415"/>
      <c r="I57" s="1415"/>
      <c r="J57" s="1415"/>
      <c r="K57" s="1415"/>
      <c r="L57" s="1415"/>
      <c r="M57" s="1415"/>
      <c r="N57" s="1415"/>
      <c r="O57" s="1426"/>
      <c r="P57" s="1274"/>
    </row>
    <row r="58" spans="1:16" ht="24" customHeight="1" x14ac:dyDescent="0.25">
      <c r="A58" s="1274"/>
      <c r="B58" s="1414"/>
      <c r="C58" s="1415"/>
      <c r="D58" s="1415"/>
      <c r="E58" s="1415"/>
      <c r="F58" s="1415"/>
      <c r="G58" s="1415"/>
      <c r="H58" s="1415"/>
      <c r="I58" s="1415"/>
      <c r="J58" s="1415"/>
      <c r="K58" s="1415"/>
      <c r="L58" s="1415"/>
      <c r="M58" s="1415"/>
      <c r="N58" s="1415"/>
      <c r="O58" s="1426"/>
      <c r="P58" s="1274"/>
    </row>
    <row r="59" spans="1:16" ht="24" customHeight="1" x14ac:dyDescent="0.25">
      <c r="A59" s="1274"/>
      <c r="B59" s="1414"/>
      <c r="C59" s="1415"/>
      <c r="D59" s="1415"/>
      <c r="E59" s="1415"/>
      <c r="F59" s="1415"/>
      <c r="G59" s="1415"/>
      <c r="H59" s="1415"/>
      <c r="I59" s="1415"/>
      <c r="J59" s="1415"/>
      <c r="K59" s="1415"/>
      <c r="L59" s="1415"/>
      <c r="M59" s="1415"/>
      <c r="N59" s="1415"/>
      <c r="O59" s="1426"/>
      <c r="P59" s="1274"/>
    </row>
    <row r="60" spans="1:16" ht="24" customHeight="1" x14ac:dyDescent="0.25">
      <c r="A60" s="1274"/>
      <c r="B60" s="1414"/>
      <c r="C60" s="1415"/>
      <c r="D60" s="1415"/>
      <c r="E60" s="1415"/>
      <c r="F60" s="1415"/>
      <c r="G60" s="1415"/>
      <c r="H60" s="1415"/>
      <c r="I60" s="1415"/>
      <c r="J60" s="1415"/>
      <c r="K60" s="1415"/>
      <c r="L60" s="1415"/>
      <c r="M60" s="1415"/>
      <c r="N60" s="1415"/>
      <c r="O60" s="1426"/>
      <c r="P60" s="1274"/>
    </row>
    <row r="61" spans="1:16" ht="24" customHeight="1" x14ac:dyDescent="0.25">
      <c r="A61" s="1274"/>
      <c r="B61" s="1414"/>
      <c r="C61" s="1415"/>
      <c r="D61" s="1415"/>
      <c r="E61" s="1415"/>
      <c r="F61" s="1415"/>
      <c r="G61" s="1415"/>
      <c r="H61" s="1415"/>
      <c r="I61" s="1415"/>
      <c r="J61" s="1415"/>
      <c r="K61" s="1415"/>
      <c r="L61" s="1415"/>
      <c r="M61" s="1415"/>
      <c r="N61" s="1415"/>
      <c r="O61" s="1426"/>
      <c r="P61" s="1274"/>
    </row>
    <row r="62" spans="1:16" ht="24" customHeight="1" x14ac:dyDescent="0.25">
      <c r="A62" s="1274"/>
      <c r="B62" s="1414"/>
      <c r="C62" s="1415"/>
      <c r="D62" s="1415"/>
      <c r="E62" s="1415"/>
      <c r="F62" s="1415"/>
      <c r="G62" s="1415"/>
      <c r="H62" s="1415"/>
      <c r="I62" s="1415"/>
      <c r="J62" s="1415"/>
      <c r="K62" s="1415"/>
      <c r="L62" s="1415"/>
      <c r="M62" s="1415"/>
      <c r="N62" s="1415"/>
      <c r="O62" s="1426"/>
      <c r="P62" s="1274"/>
    </row>
    <row r="63" spans="1:16" ht="24" customHeight="1" x14ac:dyDescent="0.25">
      <c r="A63" s="1274"/>
      <c r="B63" s="1416"/>
      <c r="C63" s="1417"/>
      <c r="D63" s="1417"/>
      <c r="E63" s="1417"/>
      <c r="F63" s="1417"/>
      <c r="G63" s="1417"/>
      <c r="H63" s="1417"/>
      <c r="I63" s="1417"/>
      <c r="J63" s="1417"/>
      <c r="K63" s="1417"/>
      <c r="L63" s="1417"/>
      <c r="M63" s="1417"/>
      <c r="N63" s="1417"/>
      <c r="O63" s="1427"/>
      <c r="P63" s="1274"/>
    </row>
    <row r="64" spans="1:16" ht="29.1" customHeight="1" thickBot="1" x14ac:dyDescent="0.3">
      <c r="A64" s="1274"/>
      <c r="B64" s="485" t="s">
        <v>367</v>
      </c>
      <c r="C64" s="1442"/>
      <c r="D64" s="1443"/>
      <c r="E64" s="1443"/>
      <c r="F64" s="1443"/>
      <c r="G64" s="1443"/>
      <c r="H64" s="1443"/>
      <c r="I64" s="486" t="s">
        <v>368</v>
      </c>
      <c r="J64" s="1435"/>
      <c r="K64" s="1436"/>
      <c r="L64" s="1436"/>
      <c r="M64" s="1436"/>
      <c r="N64" s="1436"/>
      <c r="O64" s="1439"/>
      <c r="P64" s="1274"/>
    </row>
    <row r="65" spans="1:16" ht="24" customHeight="1" x14ac:dyDescent="0.25">
      <c r="A65" s="1274"/>
      <c r="B65" s="1444" t="s">
        <v>358</v>
      </c>
      <c r="C65" s="1445"/>
      <c r="D65" s="1445"/>
      <c r="E65" s="1445"/>
      <c r="F65" s="1445"/>
      <c r="G65" s="1445"/>
      <c r="H65" s="1445"/>
      <c r="I65" s="1445" t="s">
        <v>358</v>
      </c>
      <c r="J65" s="1445"/>
      <c r="K65" s="1445"/>
      <c r="L65" s="1445"/>
      <c r="M65" s="1445"/>
      <c r="N65" s="1445"/>
      <c r="O65" s="1446"/>
      <c r="P65" s="1274"/>
    </row>
    <row r="66" spans="1:16" ht="24" customHeight="1" x14ac:dyDescent="0.25">
      <c r="A66" s="1274"/>
      <c r="B66" s="1414"/>
      <c r="C66" s="1415"/>
      <c r="D66" s="1415"/>
      <c r="E66" s="1415"/>
      <c r="F66" s="1415"/>
      <c r="G66" s="1415"/>
      <c r="H66" s="1415"/>
      <c r="I66" s="1415"/>
      <c r="J66" s="1415"/>
      <c r="K66" s="1415"/>
      <c r="L66" s="1415"/>
      <c r="M66" s="1415"/>
      <c r="N66" s="1415"/>
      <c r="O66" s="1426"/>
      <c r="P66" s="1274"/>
    </row>
    <row r="67" spans="1:16" ht="24" customHeight="1" x14ac:dyDescent="0.25">
      <c r="A67" s="1274"/>
      <c r="B67" s="1414"/>
      <c r="C67" s="1415"/>
      <c r="D67" s="1415"/>
      <c r="E67" s="1415"/>
      <c r="F67" s="1415"/>
      <c r="G67" s="1415"/>
      <c r="H67" s="1415"/>
      <c r="I67" s="1415"/>
      <c r="J67" s="1415"/>
      <c r="K67" s="1415"/>
      <c r="L67" s="1415"/>
      <c r="M67" s="1415"/>
      <c r="N67" s="1415"/>
      <c r="O67" s="1426"/>
      <c r="P67" s="1274"/>
    </row>
    <row r="68" spans="1:16" ht="24" customHeight="1" x14ac:dyDescent="0.25">
      <c r="A68" s="1274"/>
      <c r="B68" s="1414"/>
      <c r="C68" s="1415"/>
      <c r="D68" s="1415"/>
      <c r="E68" s="1415"/>
      <c r="F68" s="1415"/>
      <c r="G68" s="1415"/>
      <c r="H68" s="1415"/>
      <c r="I68" s="1415"/>
      <c r="J68" s="1415"/>
      <c r="K68" s="1415"/>
      <c r="L68" s="1415"/>
      <c r="M68" s="1415"/>
      <c r="N68" s="1415"/>
      <c r="O68" s="1426"/>
      <c r="P68" s="1274"/>
    </row>
    <row r="69" spans="1:16" ht="24" customHeight="1" x14ac:dyDescent="0.25">
      <c r="A69" s="1274"/>
      <c r="B69" s="1414"/>
      <c r="C69" s="1415"/>
      <c r="D69" s="1415"/>
      <c r="E69" s="1415"/>
      <c r="F69" s="1415"/>
      <c r="G69" s="1415"/>
      <c r="H69" s="1415"/>
      <c r="I69" s="1415"/>
      <c r="J69" s="1415"/>
      <c r="K69" s="1415"/>
      <c r="L69" s="1415"/>
      <c r="M69" s="1415"/>
      <c r="N69" s="1415"/>
      <c r="O69" s="1426"/>
      <c r="P69" s="1274"/>
    </row>
    <row r="70" spans="1:16" ht="24" customHeight="1" x14ac:dyDescent="0.25">
      <c r="A70" s="1274"/>
      <c r="B70" s="1414"/>
      <c r="C70" s="1415"/>
      <c r="D70" s="1415"/>
      <c r="E70" s="1415"/>
      <c r="F70" s="1415"/>
      <c r="G70" s="1415"/>
      <c r="H70" s="1415"/>
      <c r="I70" s="1415"/>
      <c r="J70" s="1415"/>
      <c r="K70" s="1415"/>
      <c r="L70" s="1415"/>
      <c r="M70" s="1415"/>
      <c r="N70" s="1415"/>
      <c r="O70" s="1426"/>
      <c r="P70" s="1274"/>
    </row>
    <row r="71" spans="1:16" ht="24" customHeight="1" x14ac:dyDescent="0.25">
      <c r="A71" s="1274"/>
      <c r="B71" s="1414"/>
      <c r="C71" s="1415"/>
      <c r="D71" s="1415"/>
      <c r="E71" s="1415"/>
      <c r="F71" s="1415"/>
      <c r="G71" s="1415"/>
      <c r="H71" s="1415"/>
      <c r="I71" s="1415"/>
      <c r="J71" s="1415"/>
      <c r="K71" s="1415"/>
      <c r="L71" s="1415"/>
      <c r="M71" s="1415"/>
      <c r="N71" s="1415"/>
      <c r="O71" s="1426"/>
      <c r="P71" s="1274"/>
    </row>
    <row r="72" spans="1:16" ht="24" customHeight="1" x14ac:dyDescent="0.25">
      <c r="A72" s="1274"/>
      <c r="B72" s="1414"/>
      <c r="C72" s="1415"/>
      <c r="D72" s="1415"/>
      <c r="E72" s="1415"/>
      <c r="F72" s="1415"/>
      <c r="G72" s="1415"/>
      <c r="H72" s="1415"/>
      <c r="I72" s="1415"/>
      <c r="J72" s="1415"/>
      <c r="K72" s="1415"/>
      <c r="L72" s="1415"/>
      <c r="M72" s="1415"/>
      <c r="N72" s="1415"/>
      <c r="O72" s="1426"/>
      <c r="P72" s="1274"/>
    </row>
    <row r="73" spans="1:16" ht="24" customHeight="1" x14ac:dyDescent="0.25">
      <c r="A73" s="1274"/>
      <c r="B73" s="1414"/>
      <c r="C73" s="1415"/>
      <c r="D73" s="1415"/>
      <c r="E73" s="1415"/>
      <c r="F73" s="1415"/>
      <c r="G73" s="1415"/>
      <c r="H73" s="1415"/>
      <c r="I73" s="1415"/>
      <c r="J73" s="1415"/>
      <c r="K73" s="1415"/>
      <c r="L73" s="1415"/>
      <c r="M73" s="1415"/>
      <c r="N73" s="1415"/>
      <c r="O73" s="1426"/>
      <c r="P73" s="1274"/>
    </row>
    <row r="74" spans="1:16" ht="24" customHeight="1" x14ac:dyDescent="0.25">
      <c r="A74" s="1274"/>
      <c r="B74" s="1416"/>
      <c r="C74" s="1417"/>
      <c r="D74" s="1417"/>
      <c r="E74" s="1417"/>
      <c r="F74" s="1417"/>
      <c r="G74" s="1417"/>
      <c r="H74" s="1417"/>
      <c r="I74" s="1417"/>
      <c r="J74" s="1417"/>
      <c r="K74" s="1417"/>
      <c r="L74" s="1417"/>
      <c r="M74" s="1417"/>
      <c r="N74" s="1417"/>
      <c r="O74" s="1427"/>
      <c r="P74" s="1274"/>
    </row>
    <row r="75" spans="1:16" ht="29.1" customHeight="1" thickBot="1" x14ac:dyDescent="0.3">
      <c r="A75" s="1274"/>
      <c r="B75" s="485" t="s">
        <v>369</v>
      </c>
      <c r="C75" s="1437"/>
      <c r="D75" s="1437"/>
      <c r="E75" s="1437"/>
      <c r="F75" s="1437"/>
      <c r="G75" s="1437"/>
      <c r="H75" s="1435"/>
      <c r="I75" s="486" t="s">
        <v>370</v>
      </c>
      <c r="J75" s="1437"/>
      <c r="K75" s="1437"/>
      <c r="L75" s="1437"/>
      <c r="M75" s="1437"/>
      <c r="N75" s="1437"/>
      <c r="O75" s="1438"/>
      <c r="P75" s="1274"/>
    </row>
    <row r="76" spans="1:16" ht="69.95" customHeight="1" x14ac:dyDescent="0.25">
      <c r="A76" s="1274"/>
      <c r="B76" s="1447"/>
      <c r="C76" s="1447"/>
      <c r="D76" s="1447"/>
      <c r="E76" s="1447"/>
      <c r="F76" s="1447"/>
      <c r="G76" s="1447"/>
      <c r="H76" s="1447"/>
      <c r="I76" s="1447"/>
      <c r="J76" s="1447"/>
      <c r="K76" s="1447"/>
      <c r="L76" s="1447"/>
      <c r="M76" s="1447"/>
      <c r="N76" s="1447"/>
      <c r="O76" s="1447"/>
      <c r="P76" s="1274"/>
    </row>
    <row r="77" spans="1:16" ht="30" customHeight="1" thickBot="1" x14ac:dyDescent="0.3">
      <c r="A77" s="1274"/>
      <c r="B77" s="1448"/>
      <c r="C77" s="1448"/>
      <c r="D77" s="1448"/>
      <c r="E77" s="1448"/>
      <c r="F77" s="1448"/>
      <c r="G77" s="1448"/>
      <c r="H77" s="1448"/>
      <c r="I77" s="1448"/>
      <c r="J77" s="1448"/>
      <c r="K77" s="1448"/>
      <c r="L77" s="1448"/>
      <c r="M77" s="1448"/>
      <c r="N77" s="1448"/>
      <c r="O77" s="1448"/>
      <c r="P77" s="1274"/>
    </row>
    <row r="78" spans="1:16" ht="24" customHeight="1" x14ac:dyDescent="0.25">
      <c r="A78" s="1274"/>
      <c r="B78" s="1414" t="s">
        <v>358</v>
      </c>
      <c r="C78" s="1415"/>
      <c r="D78" s="1415"/>
      <c r="E78" s="1415"/>
      <c r="F78" s="1415"/>
      <c r="G78" s="1415"/>
      <c r="H78" s="1415"/>
      <c r="I78" s="1415" t="s">
        <v>358</v>
      </c>
      <c r="J78" s="1415"/>
      <c r="K78" s="1415"/>
      <c r="L78" s="1415"/>
      <c r="M78" s="1415"/>
      <c r="N78" s="1415"/>
      <c r="O78" s="1426"/>
      <c r="P78" s="1274"/>
    </row>
    <row r="79" spans="1:16" ht="24" customHeight="1" x14ac:dyDescent="0.25">
      <c r="A79" s="1274"/>
      <c r="B79" s="1414"/>
      <c r="C79" s="1415"/>
      <c r="D79" s="1415"/>
      <c r="E79" s="1415"/>
      <c r="F79" s="1415"/>
      <c r="G79" s="1415"/>
      <c r="H79" s="1415"/>
      <c r="I79" s="1415"/>
      <c r="J79" s="1415"/>
      <c r="K79" s="1415"/>
      <c r="L79" s="1415"/>
      <c r="M79" s="1415"/>
      <c r="N79" s="1415"/>
      <c r="O79" s="1426"/>
      <c r="P79" s="1274"/>
    </row>
    <row r="80" spans="1:16" ht="24" customHeight="1" x14ac:dyDescent="0.25">
      <c r="A80" s="1274"/>
      <c r="B80" s="1414"/>
      <c r="C80" s="1415"/>
      <c r="D80" s="1415"/>
      <c r="E80" s="1415"/>
      <c r="F80" s="1415"/>
      <c r="G80" s="1415"/>
      <c r="H80" s="1415"/>
      <c r="I80" s="1415"/>
      <c r="J80" s="1415"/>
      <c r="K80" s="1415"/>
      <c r="L80" s="1415"/>
      <c r="M80" s="1415"/>
      <c r="N80" s="1415"/>
      <c r="O80" s="1426"/>
      <c r="P80" s="1274"/>
    </row>
    <row r="81" spans="1:16" ht="24" customHeight="1" x14ac:dyDescent="0.25">
      <c r="A81" s="1274"/>
      <c r="B81" s="1414"/>
      <c r="C81" s="1415"/>
      <c r="D81" s="1415"/>
      <c r="E81" s="1415"/>
      <c r="F81" s="1415"/>
      <c r="G81" s="1415"/>
      <c r="H81" s="1415"/>
      <c r="I81" s="1415"/>
      <c r="J81" s="1415"/>
      <c r="K81" s="1415"/>
      <c r="L81" s="1415"/>
      <c r="M81" s="1415"/>
      <c r="N81" s="1415"/>
      <c r="O81" s="1426"/>
      <c r="P81" s="1274"/>
    </row>
    <row r="82" spans="1:16" ht="24" customHeight="1" x14ac:dyDescent="0.25">
      <c r="A82" s="1274"/>
      <c r="B82" s="1414"/>
      <c r="C82" s="1415"/>
      <c r="D82" s="1415"/>
      <c r="E82" s="1415"/>
      <c r="F82" s="1415"/>
      <c r="G82" s="1415"/>
      <c r="H82" s="1415"/>
      <c r="I82" s="1415"/>
      <c r="J82" s="1415"/>
      <c r="K82" s="1415"/>
      <c r="L82" s="1415"/>
      <c r="M82" s="1415"/>
      <c r="N82" s="1415"/>
      <c r="O82" s="1426"/>
      <c r="P82" s="1274"/>
    </row>
    <row r="83" spans="1:16" ht="24" customHeight="1" x14ac:dyDescent="0.25">
      <c r="A83" s="1274"/>
      <c r="B83" s="1414"/>
      <c r="C83" s="1415"/>
      <c r="D83" s="1415"/>
      <c r="E83" s="1415"/>
      <c r="F83" s="1415"/>
      <c r="G83" s="1415"/>
      <c r="H83" s="1415"/>
      <c r="I83" s="1415"/>
      <c r="J83" s="1415"/>
      <c r="K83" s="1415"/>
      <c r="L83" s="1415"/>
      <c r="M83" s="1415"/>
      <c r="N83" s="1415"/>
      <c r="O83" s="1426"/>
      <c r="P83" s="1274"/>
    </row>
    <row r="84" spans="1:16" ht="24" customHeight="1" x14ac:dyDescent="0.25">
      <c r="A84" s="1274"/>
      <c r="B84" s="1414"/>
      <c r="C84" s="1415"/>
      <c r="D84" s="1415"/>
      <c r="E84" s="1415"/>
      <c r="F84" s="1415"/>
      <c r="G84" s="1415"/>
      <c r="H84" s="1415"/>
      <c r="I84" s="1415"/>
      <c r="J84" s="1415"/>
      <c r="K84" s="1415"/>
      <c r="L84" s="1415"/>
      <c r="M84" s="1415"/>
      <c r="N84" s="1415"/>
      <c r="O84" s="1426"/>
      <c r="P84" s="1274"/>
    </row>
    <row r="85" spans="1:16" ht="24" customHeight="1" x14ac:dyDescent="0.25">
      <c r="A85" s="1274"/>
      <c r="B85" s="1414"/>
      <c r="C85" s="1415"/>
      <c r="D85" s="1415"/>
      <c r="E85" s="1415"/>
      <c r="F85" s="1415"/>
      <c r="G85" s="1415"/>
      <c r="H85" s="1415"/>
      <c r="I85" s="1415"/>
      <c r="J85" s="1415"/>
      <c r="K85" s="1415"/>
      <c r="L85" s="1415"/>
      <c r="M85" s="1415"/>
      <c r="N85" s="1415"/>
      <c r="O85" s="1426"/>
      <c r="P85" s="1274"/>
    </row>
    <row r="86" spans="1:16" ht="24" customHeight="1" x14ac:dyDescent="0.25">
      <c r="A86" s="1274"/>
      <c r="B86" s="1414"/>
      <c r="C86" s="1415"/>
      <c r="D86" s="1415"/>
      <c r="E86" s="1415"/>
      <c r="F86" s="1415"/>
      <c r="G86" s="1415"/>
      <c r="H86" s="1415"/>
      <c r="I86" s="1415"/>
      <c r="J86" s="1415"/>
      <c r="K86" s="1415"/>
      <c r="L86" s="1415"/>
      <c r="M86" s="1415"/>
      <c r="N86" s="1415"/>
      <c r="O86" s="1426"/>
      <c r="P86" s="1274"/>
    </row>
    <row r="87" spans="1:16" ht="24" customHeight="1" x14ac:dyDescent="0.25">
      <c r="A87" s="1274"/>
      <c r="B87" s="1416"/>
      <c r="C87" s="1417"/>
      <c r="D87" s="1417"/>
      <c r="E87" s="1417"/>
      <c r="F87" s="1417"/>
      <c r="G87" s="1417"/>
      <c r="H87" s="1417"/>
      <c r="I87" s="1417"/>
      <c r="J87" s="1417"/>
      <c r="K87" s="1417"/>
      <c r="L87" s="1417"/>
      <c r="M87" s="1417"/>
      <c r="N87" s="1417"/>
      <c r="O87" s="1427"/>
      <c r="P87" s="1274"/>
    </row>
    <row r="88" spans="1:16" ht="29.1" customHeight="1" thickBot="1" x14ac:dyDescent="0.3">
      <c r="A88" s="1274"/>
      <c r="B88" s="485" t="s">
        <v>371</v>
      </c>
      <c r="C88" s="1435"/>
      <c r="D88" s="1436"/>
      <c r="E88" s="1436"/>
      <c r="F88" s="1436"/>
      <c r="G88" s="1436"/>
      <c r="H88" s="1436"/>
      <c r="I88" s="486" t="s">
        <v>372</v>
      </c>
      <c r="J88" s="1437"/>
      <c r="K88" s="1437"/>
      <c r="L88" s="1437"/>
      <c r="M88" s="1437"/>
      <c r="N88" s="1437"/>
      <c r="O88" s="1438"/>
      <c r="P88" s="1274"/>
    </row>
    <row r="89" spans="1:16" ht="24" customHeight="1" x14ac:dyDescent="0.25">
      <c r="A89" s="1274"/>
      <c r="B89" s="1414" t="s">
        <v>358</v>
      </c>
      <c r="C89" s="1415"/>
      <c r="D89" s="1415"/>
      <c r="E89" s="1415"/>
      <c r="F89" s="1415"/>
      <c r="G89" s="1415"/>
      <c r="H89" s="1415"/>
      <c r="I89" s="1415" t="s">
        <v>358</v>
      </c>
      <c r="J89" s="1415"/>
      <c r="K89" s="1415"/>
      <c r="L89" s="1415"/>
      <c r="M89" s="1415"/>
      <c r="N89" s="1415"/>
      <c r="O89" s="1426"/>
      <c r="P89" s="1274"/>
    </row>
    <row r="90" spans="1:16" ht="24" customHeight="1" x14ac:dyDescent="0.25">
      <c r="A90" s="1274"/>
      <c r="B90" s="1414"/>
      <c r="C90" s="1415"/>
      <c r="D90" s="1415"/>
      <c r="E90" s="1415"/>
      <c r="F90" s="1415"/>
      <c r="G90" s="1415"/>
      <c r="H90" s="1415"/>
      <c r="I90" s="1415"/>
      <c r="J90" s="1415"/>
      <c r="K90" s="1415"/>
      <c r="L90" s="1415"/>
      <c r="M90" s="1415"/>
      <c r="N90" s="1415"/>
      <c r="O90" s="1426"/>
      <c r="P90" s="1274"/>
    </row>
    <row r="91" spans="1:16" ht="24" customHeight="1" x14ac:dyDescent="0.25">
      <c r="A91" s="1274"/>
      <c r="B91" s="1414"/>
      <c r="C91" s="1415"/>
      <c r="D91" s="1415"/>
      <c r="E91" s="1415"/>
      <c r="F91" s="1415"/>
      <c r="G91" s="1415"/>
      <c r="H91" s="1415"/>
      <c r="I91" s="1415"/>
      <c r="J91" s="1415"/>
      <c r="K91" s="1415"/>
      <c r="L91" s="1415"/>
      <c r="M91" s="1415"/>
      <c r="N91" s="1415"/>
      <c r="O91" s="1426"/>
      <c r="P91" s="1274"/>
    </row>
    <row r="92" spans="1:16" ht="24" customHeight="1" x14ac:dyDescent="0.25">
      <c r="A92" s="1274"/>
      <c r="B92" s="1414"/>
      <c r="C92" s="1415"/>
      <c r="D92" s="1415"/>
      <c r="E92" s="1415"/>
      <c r="F92" s="1415"/>
      <c r="G92" s="1415"/>
      <c r="H92" s="1415"/>
      <c r="I92" s="1415"/>
      <c r="J92" s="1415"/>
      <c r="K92" s="1415"/>
      <c r="L92" s="1415"/>
      <c r="M92" s="1415"/>
      <c r="N92" s="1415"/>
      <c r="O92" s="1426"/>
      <c r="P92" s="1274"/>
    </row>
    <row r="93" spans="1:16" ht="24" customHeight="1" x14ac:dyDescent="0.25">
      <c r="A93" s="1274"/>
      <c r="B93" s="1414"/>
      <c r="C93" s="1415"/>
      <c r="D93" s="1415"/>
      <c r="E93" s="1415"/>
      <c r="F93" s="1415"/>
      <c r="G93" s="1415"/>
      <c r="H93" s="1415"/>
      <c r="I93" s="1415"/>
      <c r="J93" s="1415"/>
      <c r="K93" s="1415"/>
      <c r="L93" s="1415"/>
      <c r="M93" s="1415"/>
      <c r="N93" s="1415"/>
      <c r="O93" s="1426"/>
      <c r="P93" s="1274"/>
    </row>
    <row r="94" spans="1:16" ht="24" customHeight="1" x14ac:dyDescent="0.25">
      <c r="A94" s="1274"/>
      <c r="B94" s="1414"/>
      <c r="C94" s="1415"/>
      <c r="D94" s="1415"/>
      <c r="E94" s="1415"/>
      <c r="F94" s="1415"/>
      <c r="G94" s="1415"/>
      <c r="H94" s="1415"/>
      <c r="I94" s="1415"/>
      <c r="J94" s="1415"/>
      <c r="K94" s="1415"/>
      <c r="L94" s="1415"/>
      <c r="M94" s="1415"/>
      <c r="N94" s="1415"/>
      <c r="O94" s="1426"/>
      <c r="P94" s="1274"/>
    </row>
    <row r="95" spans="1:16" ht="24" customHeight="1" x14ac:dyDescent="0.25">
      <c r="A95" s="1274"/>
      <c r="B95" s="1414"/>
      <c r="C95" s="1415"/>
      <c r="D95" s="1415"/>
      <c r="E95" s="1415"/>
      <c r="F95" s="1415"/>
      <c r="G95" s="1415"/>
      <c r="H95" s="1415"/>
      <c r="I95" s="1415"/>
      <c r="J95" s="1415"/>
      <c r="K95" s="1415"/>
      <c r="L95" s="1415"/>
      <c r="M95" s="1415"/>
      <c r="N95" s="1415"/>
      <c r="O95" s="1426"/>
      <c r="P95" s="1274"/>
    </row>
    <row r="96" spans="1:16" ht="24" customHeight="1" x14ac:dyDescent="0.25">
      <c r="A96" s="1274"/>
      <c r="B96" s="1414"/>
      <c r="C96" s="1415"/>
      <c r="D96" s="1415"/>
      <c r="E96" s="1415"/>
      <c r="F96" s="1415"/>
      <c r="G96" s="1415"/>
      <c r="H96" s="1415"/>
      <c r="I96" s="1415"/>
      <c r="J96" s="1415"/>
      <c r="K96" s="1415"/>
      <c r="L96" s="1415"/>
      <c r="M96" s="1415"/>
      <c r="N96" s="1415"/>
      <c r="O96" s="1426"/>
      <c r="P96" s="1274"/>
    </row>
    <row r="97" spans="1:16" ht="24" customHeight="1" x14ac:dyDescent="0.25">
      <c r="A97" s="1274"/>
      <c r="B97" s="1414"/>
      <c r="C97" s="1415"/>
      <c r="D97" s="1415"/>
      <c r="E97" s="1415"/>
      <c r="F97" s="1415"/>
      <c r="G97" s="1415"/>
      <c r="H97" s="1415"/>
      <c r="I97" s="1415"/>
      <c r="J97" s="1415"/>
      <c r="K97" s="1415"/>
      <c r="L97" s="1415"/>
      <c r="M97" s="1415"/>
      <c r="N97" s="1415"/>
      <c r="O97" s="1426"/>
      <c r="P97" s="1274"/>
    </row>
    <row r="98" spans="1:16" ht="24" customHeight="1" x14ac:dyDescent="0.25">
      <c r="A98" s="1274"/>
      <c r="B98" s="1416"/>
      <c r="C98" s="1417"/>
      <c r="D98" s="1417"/>
      <c r="E98" s="1417"/>
      <c r="F98" s="1417"/>
      <c r="G98" s="1417"/>
      <c r="H98" s="1417"/>
      <c r="I98" s="1417"/>
      <c r="J98" s="1417"/>
      <c r="K98" s="1417"/>
      <c r="L98" s="1417"/>
      <c r="M98" s="1417"/>
      <c r="N98" s="1417"/>
      <c r="O98" s="1427"/>
      <c r="P98" s="1274"/>
    </row>
    <row r="99" spans="1:16" ht="29.1" customHeight="1" thickBot="1" x14ac:dyDescent="0.3">
      <c r="A99" s="1274"/>
      <c r="B99" s="485" t="s">
        <v>373</v>
      </c>
      <c r="C99" s="1435"/>
      <c r="D99" s="1436"/>
      <c r="E99" s="1436"/>
      <c r="F99" s="1436"/>
      <c r="G99" s="1436"/>
      <c r="H99" s="1436"/>
      <c r="I99" s="486" t="s">
        <v>374</v>
      </c>
      <c r="J99" s="1437"/>
      <c r="K99" s="1437"/>
      <c r="L99" s="1437"/>
      <c r="M99" s="1437"/>
      <c r="N99" s="1437"/>
      <c r="O99" s="1438"/>
      <c r="P99" s="1274"/>
    </row>
    <row r="100" spans="1:16" ht="24" customHeight="1" x14ac:dyDescent="0.25">
      <c r="A100" s="1274"/>
      <c r="B100" s="1444" t="s">
        <v>358</v>
      </c>
      <c r="C100" s="1445"/>
      <c r="D100" s="1445"/>
      <c r="E100" s="1445"/>
      <c r="F100" s="1445"/>
      <c r="G100" s="1445"/>
      <c r="H100" s="1445"/>
      <c r="I100" s="1445" t="s">
        <v>358</v>
      </c>
      <c r="J100" s="1445"/>
      <c r="K100" s="1445"/>
      <c r="L100" s="1445"/>
      <c r="M100" s="1445"/>
      <c r="N100" s="1445"/>
      <c r="O100" s="1446"/>
      <c r="P100" s="1274"/>
    </row>
    <row r="101" spans="1:16" ht="24" customHeight="1" x14ac:dyDescent="0.25">
      <c r="A101" s="1274"/>
      <c r="B101" s="1414"/>
      <c r="C101" s="1415"/>
      <c r="D101" s="1415"/>
      <c r="E101" s="1415"/>
      <c r="F101" s="1415"/>
      <c r="G101" s="1415"/>
      <c r="H101" s="1415"/>
      <c r="I101" s="1415"/>
      <c r="J101" s="1415"/>
      <c r="K101" s="1415"/>
      <c r="L101" s="1415"/>
      <c r="M101" s="1415"/>
      <c r="N101" s="1415"/>
      <c r="O101" s="1426"/>
      <c r="P101" s="1274"/>
    </row>
    <row r="102" spans="1:16" ht="24" customHeight="1" x14ac:dyDescent="0.25">
      <c r="A102" s="1274"/>
      <c r="B102" s="1414"/>
      <c r="C102" s="1415"/>
      <c r="D102" s="1415"/>
      <c r="E102" s="1415"/>
      <c r="F102" s="1415"/>
      <c r="G102" s="1415"/>
      <c r="H102" s="1415"/>
      <c r="I102" s="1415"/>
      <c r="J102" s="1415"/>
      <c r="K102" s="1415"/>
      <c r="L102" s="1415"/>
      <c r="M102" s="1415"/>
      <c r="N102" s="1415"/>
      <c r="O102" s="1426"/>
      <c r="P102" s="1274"/>
    </row>
    <row r="103" spans="1:16" ht="24" customHeight="1" x14ac:dyDescent="0.25">
      <c r="A103" s="1274"/>
      <c r="B103" s="1414"/>
      <c r="C103" s="1415"/>
      <c r="D103" s="1415"/>
      <c r="E103" s="1415"/>
      <c r="F103" s="1415"/>
      <c r="G103" s="1415"/>
      <c r="H103" s="1415"/>
      <c r="I103" s="1415"/>
      <c r="J103" s="1415"/>
      <c r="K103" s="1415"/>
      <c r="L103" s="1415"/>
      <c r="M103" s="1415"/>
      <c r="N103" s="1415"/>
      <c r="O103" s="1426"/>
      <c r="P103" s="1274"/>
    </row>
    <row r="104" spans="1:16" ht="24" customHeight="1" x14ac:dyDescent="0.25">
      <c r="A104" s="1274"/>
      <c r="B104" s="1414"/>
      <c r="C104" s="1415"/>
      <c r="D104" s="1415"/>
      <c r="E104" s="1415"/>
      <c r="F104" s="1415"/>
      <c r="G104" s="1415"/>
      <c r="H104" s="1415"/>
      <c r="I104" s="1415"/>
      <c r="J104" s="1415"/>
      <c r="K104" s="1415"/>
      <c r="L104" s="1415"/>
      <c r="M104" s="1415"/>
      <c r="N104" s="1415"/>
      <c r="O104" s="1426"/>
      <c r="P104" s="1274"/>
    </row>
    <row r="105" spans="1:16" ht="24" customHeight="1" x14ac:dyDescent="0.25">
      <c r="A105" s="1274"/>
      <c r="B105" s="1414"/>
      <c r="C105" s="1415"/>
      <c r="D105" s="1415"/>
      <c r="E105" s="1415"/>
      <c r="F105" s="1415"/>
      <c r="G105" s="1415"/>
      <c r="H105" s="1415"/>
      <c r="I105" s="1415"/>
      <c r="J105" s="1415"/>
      <c r="K105" s="1415"/>
      <c r="L105" s="1415"/>
      <c r="M105" s="1415"/>
      <c r="N105" s="1415"/>
      <c r="O105" s="1426"/>
      <c r="P105" s="1274"/>
    </row>
    <row r="106" spans="1:16" ht="24" customHeight="1" x14ac:dyDescent="0.25">
      <c r="A106" s="1274"/>
      <c r="B106" s="1414"/>
      <c r="C106" s="1415"/>
      <c r="D106" s="1415"/>
      <c r="E106" s="1415"/>
      <c r="F106" s="1415"/>
      <c r="G106" s="1415"/>
      <c r="H106" s="1415"/>
      <c r="I106" s="1415"/>
      <c r="J106" s="1415"/>
      <c r="K106" s="1415"/>
      <c r="L106" s="1415"/>
      <c r="M106" s="1415"/>
      <c r="N106" s="1415"/>
      <c r="O106" s="1426"/>
      <c r="P106" s="1274"/>
    </row>
    <row r="107" spans="1:16" ht="24" customHeight="1" x14ac:dyDescent="0.25">
      <c r="A107" s="1274"/>
      <c r="B107" s="1414"/>
      <c r="C107" s="1415"/>
      <c r="D107" s="1415"/>
      <c r="E107" s="1415"/>
      <c r="F107" s="1415"/>
      <c r="G107" s="1415"/>
      <c r="H107" s="1415"/>
      <c r="I107" s="1415"/>
      <c r="J107" s="1415"/>
      <c r="K107" s="1415"/>
      <c r="L107" s="1415"/>
      <c r="M107" s="1415"/>
      <c r="N107" s="1415"/>
      <c r="O107" s="1426"/>
      <c r="P107" s="1274"/>
    </row>
    <row r="108" spans="1:16" ht="24" customHeight="1" x14ac:dyDescent="0.25">
      <c r="A108" s="1274"/>
      <c r="B108" s="1414"/>
      <c r="C108" s="1415"/>
      <c r="D108" s="1415"/>
      <c r="E108" s="1415"/>
      <c r="F108" s="1415"/>
      <c r="G108" s="1415"/>
      <c r="H108" s="1415"/>
      <c r="I108" s="1415"/>
      <c r="J108" s="1415"/>
      <c r="K108" s="1415"/>
      <c r="L108" s="1415"/>
      <c r="M108" s="1415"/>
      <c r="N108" s="1415"/>
      <c r="O108" s="1426"/>
      <c r="P108" s="1274"/>
    </row>
    <row r="109" spans="1:16" ht="24" customHeight="1" x14ac:dyDescent="0.25">
      <c r="A109" s="1274"/>
      <c r="B109" s="1416"/>
      <c r="C109" s="1417"/>
      <c r="D109" s="1417"/>
      <c r="E109" s="1417"/>
      <c r="F109" s="1417"/>
      <c r="G109" s="1417"/>
      <c r="H109" s="1417"/>
      <c r="I109" s="1417"/>
      <c r="J109" s="1417"/>
      <c r="K109" s="1417"/>
      <c r="L109" s="1417"/>
      <c r="M109" s="1417"/>
      <c r="N109" s="1417"/>
      <c r="O109" s="1427"/>
      <c r="P109" s="1274"/>
    </row>
    <row r="110" spans="1:16" ht="29.1" customHeight="1" thickBot="1" x14ac:dyDescent="0.3">
      <c r="A110" s="1274"/>
      <c r="B110" s="485" t="s">
        <v>375</v>
      </c>
      <c r="C110" s="1435"/>
      <c r="D110" s="1436"/>
      <c r="E110" s="1436"/>
      <c r="F110" s="1436"/>
      <c r="G110" s="1436"/>
      <c r="H110" s="1436"/>
      <c r="I110" s="486" t="s">
        <v>376</v>
      </c>
      <c r="J110" s="1435"/>
      <c r="K110" s="1436"/>
      <c r="L110" s="1436"/>
      <c r="M110" s="1436"/>
      <c r="N110" s="1436"/>
      <c r="O110" s="1439"/>
      <c r="P110" s="1274"/>
    </row>
    <row r="111" spans="1:16" ht="80.099999999999994" customHeight="1" x14ac:dyDescent="0.25">
      <c r="A111" s="1274"/>
      <c r="B111" s="1447"/>
      <c r="C111" s="1447"/>
      <c r="D111" s="1447"/>
      <c r="E111" s="1447"/>
      <c r="F111" s="1447"/>
      <c r="G111" s="1447"/>
      <c r="H111" s="1447"/>
      <c r="I111" s="1447"/>
      <c r="J111" s="1447"/>
      <c r="K111" s="1447"/>
      <c r="L111" s="1447"/>
      <c r="M111" s="1447"/>
      <c r="N111" s="1447"/>
      <c r="O111" s="1447"/>
      <c r="P111" s="1274"/>
    </row>
    <row r="112" spans="1:16" ht="30" customHeight="1" thickBot="1" x14ac:dyDescent="0.3">
      <c r="A112" s="1274"/>
      <c r="B112" s="1448"/>
      <c r="C112" s="1448"/>
      <c r="D112" s="1448"/>
      <c r="E112" s="1448"/>
      <c r="F112" s="1448"/>
      <c r="G112" s="1448"/>
      <c r="H112" s="1448"/>
      <c r="I112" s="1448"/>
      <c r="J112" s="1448"/>
      <c r="K112" s="1448"/>
      <c r="L112" s="1448"/>
      <c r="M112" s="1448"/>
      <c r="N112" s="1448"/>
      <c r="O112" s="1448"/>
      <c r="P112" s="1274"/>
    </row>
    <row r="113" spans="1:16" ht="24" customHeight="1" x14ac:dyDescent="0.25">
      <c r="A113" s="1274"/>
      <c r="B113" s="1449" t="s">
        <v>358</v>
      </c>
      <c r="C113" s="1450"/>
      <c r="D113" s="1450"/>
      <c r="E113" s="1450"/>
      <c r="F113" s="1450"/>
      <c r="G113" s="1450"/>
      <c r="H113" s="1451"/>
      <c r="I113" s="1458" t="s">
        <v>358</v>
      </c>
      <c r="J113" s="1450"/>
      <c r="K113" s="1450"/>
      <c r="L113" s="1450"/>
      <c r="M113" s="1450"/>
      <c r="N113" s="1450"/>
      <c r="O113" s="1459"/>
      <c r="P113" s="1274"/>
    </row>
    <row r="114" spans="1:16" ht="24" customHeight="1" x14ac:dyDescent="0.25">
      <c r="A114" s="1274"/>
      <c r="B114" s="1452"/>
      <c r="C114" s="1453"/>
      <c r="D114" s="1453"/>
      <c r="E114" s="1453"/>
      <c r="F114" s="1453"/>
      <c r="G114" s="1453"/>
      <c r="H114" s="1454"/>
      <c r="I114" s="1460"/>
      <c r="J114" s="1453"/>
      <c r="K114" s="1453"/>
      <c r="L114" s="1453"/>
      <c r="M114" s="1453"/>
      <c r="N114" s="1453"/>
      <c r="O114" s="1461"/>
      <c r="P114" s="1274"/>
    </row>
    <row r="115" spans="1:16" ht="24" customHeight="1" x14ac:dyDescent="0.25">
      <c r="A115" s="1274"/>
      <c r="B115" s="1452"/>
      <c r="C115" s="1453"/>
      <c r="D115" s="1453"/>
      <c r="E115" s="1453"/>
      <c r="F115" s="1453"/>
      <c r="G115" s="1453"/>
      <c r="H115" s="1454"/>
      <c r="I115" s="1460"/>
      <c r="J115" s="1453"/>
      <c r="K115" s="1453"/>
      <c r="L115" s="1453"/>
      <c r="M115" s="1453"/>
      <c r="N115" s="1453"/>
      <c r="O115" s="1461"/>
      <c r="P115" s="1274"/>
    </row>
    <row r="116" spans="1:16" ht="24" customHeight="1" x14ac:dyDescent="0.25">
      <c r="A116" s="1274"/>
      <c r="B116" s="1452"/>
      <c r="C116" s="1453"/>
      <c r="D116" s="1453"/>
      <c r="E116" s="1453"/>
      <c r="F116" s="1453"/>
      <c r="G116" s="1453"/>
      <c r="H116" s="1454"/>
      <c r="I116" s="1460"/>
      <c r="J116" s="1453"/>
      <c r="K116" s="1453"/>
      <c r="L116" s="1453"/>
      <c r="M116" s="1453"/>
      <c r="N116" s="1453"/>
      <c r="O116" s="1461"/>
      <c r="P116" s="1274"/>
    </row>
    <row r="117" spans="1:16" ht="24" customHeight="1" x14ac:dyDescent="0.25">
      <c r="A117" s="1274"/>
      <c r="B117" s="1452"/>
      <c r="C117" s="1453"/>
      <c r="D117" s="1453"/>
      <c r="E117" s="1453"/>
      <c r="F117" s="1453"/>
      <c r="G117" s="1453"/>
      <c r="H117" s="1454"/>
      <c r="I117" s="1460"/>
      <c r="J117" s="1453"/>
      <c r="K117" s="1453"/>
      <c r="L117" s="1453"/>
      <c r="M117" s="1453"/>
      <c r="N117" s="1453"/>
      <c r="O117" s="1461"/>
      <c r="P117" s="1274"/>
    </row>
    <row r="118" spans="1:16" ht="24" customHeight="1" x14ac:dyDescent="0.25">
      <c r="A118" s="1274"/>
      <c r="B118" s="1452"/>
      <c r="C118" s="1453"/>
      <c r="D118" s="1453"/>
      <c r="E118" s="1453"/>
      <c r="F118" s="1453"/>
      <c r="G118" s="1453"/>
      <c r="H118" s="1454"/>
      <c r="I118" s="1460"/>
      <c r="J118" s="1453"/>
      <c r="K118" s="1453"/>
      <c r="L118" s="1453"/>
      <c r="M118" s="1453"/>
      <c r="N118" s="1453"/>
      <c r="O118" s="1461"/>
      <c r="P118" s="1274"/>
    </row>
    <row r="119" spans="1:16" ht="24" customHeight="1" x14ac:dyDescent="0.25">
      <c r="A119" s="1274"/>
      <c r="B119" s="1452"/>
      <c r="C119" s="1453"/>
      <c r="D119" s="1453"/>
      <c r="E119" s="1453"/>
      <c r="F119" s="1453"/>
      <c r="G119" s="1453"/>
      <c r="H119" s="1454"/>
      <c r="I119" s="1460"/>
      <c r="J119" s="1453"/>
      <c r="K119" s="1453"/>
      <c r="L119" s="1453"/>
      <c r="M119" s="1453"/>
      <c r="N119" s="1453"/>
      <c r="O119" s="1461"/>
      <c r="P119" s="1274"/>
    </row>
    <row r="120" spans="1:16" ht="24" customHeight="1" x14ac:dyDescent="0.25">
      <c r="A120" s="1274"/>
      <c r="B120" s="1452"/>
      <c r="C120" s="1453"/>
      <c r="D120" s="1453"/>
      <c r="E120" s="1453"/>
      <c r="F120" s="1453"/>
      <c r="G120" s="1453"/>
      <c r="H120" s="1454"/>
      <c r="I120" s="1460"/>
      <c r="J120" s="1453"/>
      <c r="K120" s="1453"/>
      <c r="L120" s="1453"/>
      <c r="M120" s="1453"/>
      <c r="N120" s="1453"/>
      <c r="O120" s="1461"/>
      <c r="P120" s="1274"/>
    </row>
    <row r="121" spans="1:16" ht="24" customHeight="1" x14ac:dyDescent="0.25">
      <c r="A121" s="1274"/>
      <c r="B121" s="1452"/>
      <c r="C121" s="1453"/>
      <c r="D121" s="1453"/>
      <c r="E121" s="1453"/>
      <c r="F121" s="1453"/>
      <c r="G121" s="1453"/>
      <c r="H121" s="1454"/>
      <c r="I121" s="1460"/>
      <c r="J121" s="1453"/>
      <c r="K121" s="1453"/>
      <c r="L121" s="1453"/>
      <c r="M121" s="1453"/>
      <c r="N121" s="1453"/>
      <c r="O121" s="1461"/>
      <c r="P121" s="1274"/>
    </row>
    <row r="122" spans="1:16" ht="24" customHeight="1" x14ac:dyDescent="0.25">
      <c r="A122" s="1274"/>
      <c r="B122" s="1455"/>
      <c r="C122" s="1456"/>
      <c r="D122" s="1456"/>
      <c r="E122" s="1456"/>
      <c r="F122" s="1456"/>
      <c r="G122" s="1456"/>
      <c r="H122" s="1457"/>
      <c r="I122" s="1462"/>
      <c r="J122" s="1456"/>
      <c r="K122" s="1456"/>
      <c r="L122" s="1456"/>
      <c r="M122" s="1456"/>
      <c r="N122" s="1456"/>
      <c r="O122" s="1463"/>
      <c r="P122" s="1274"/>
    </row>
    <row r="123" spans="1:16" ht="29.1" customHeight="1" thickBot="1" x14ac:dyDescent="0.3">
      <c r="A123" s="1274"/>
      <c r="B123" s="485" t="s">
        <v>377</v>
      </c>
      <c r="C123" s="1437"/>
      <c r="D123" s="1437"/>
      <c r="E123" s="1437"/>
      <c r="F123" s="1437"/>
      <c r="G123" s="1437"/>
      <c r="H123" s="1435"/>
      <c r="I123" s="486" t="s">
        <v>378</v>
      </c>
      <c r="J123" s="1437"/>
      <c r="K123" s="1437"/>
      <c r="L123" s="1437"/>
      <c r="M123" s="1437"/>
      <c r="N123" s="1437"/>
      <c r="O123" s="1438"/>
      <c r="P123" s="1274"/>
    </row>
    <row r="124" spans="1:16" ht="24" customHeight="1" x14ac:dyDescent="0.25">
      <c r="A124" s="1274"/>
      <c r="B124" s="1449" t="s">
        <v>358</v>
      </c>
      <c r="C124" s="1450"/>
      <c r="D124" s="1450"/>
      <c r="E124" s="1450"/>
      <c r="F124" s="1450"/>
      <c r="G124" s="1450"/>
      <c r="H124" s="1451"/>
      <c r="I124" s="1458" t="s">
        <v>358</v>
      </c>
      <c r="J124" s="1450"/>
      <c r="K124" s="1450"/>
      <c r="L124" s="1450"/>
      <c r="M124" s="1450"/>
      <c r="N124" s="1450"/>
      <c r="O124" s="1459"/>
      <c r="P124" s="1274"/>
    </row>
    <row r="125" spans="1:16" ht="24" customHeight="1" x14ac:dyDescent="0.25">
      <c r="A125" s="1274"/>
      <c r="B125" s="1452"/>
      <c r="C125" s="1453"/>
      <c r="D125" s="1453"/>
      <c r="E125" s="1453"/>
      <c r="F125" s="1453"/>
      <c r="G125" s="1453"/>
      <c r="H125" s="1454"/>
      <c r="I125" s="1460"/>
      <c r="J125" s="1453"/>
      <c r="K125" s="1453"/>
      <c r="L125" s="1453"/>
      <c r="M125" s="1453"/>
      <c r="N125" s="1453"/>
      <c r="O125" s="1461"/>
      <c r="P125" s="1274"/>
    </row>
    <row r="126" spans="1:16" ht="24" customHeight="1" x14ac:dyDescent="0.25">
      <c r="A126" s="1274"/>
      <c r="B126" s="1452"/>
      <c r="C126" s="1453"/>
      <c r="D126" s="1453"/>
      <c r="E126" s="1453"/>
      <c r="F126" s="1453"/>
      <c r="G126" s="1453"/>
      <c r="H126" s="1454"/>
      <c r="I126" s="1460"/>
      <c r="J126" s="1453"/>
      <c r="K126" s="1453"/>
      <c r="L126" s="1453"/>
      <c r="M126" s="1453"/>
      <c r="N126" s="1453"/>
      <c r="O126" s="1461"/>
      <c r="P126" s="1274"/>
    </row>
    <row r="127" spans="1:16" ht="24" customHeight="1" x14ac:dyDescent="0.25">
      <c r="A127" s="1274"/>
      <c r="B127" s="1452"/>
      <c r="C127" s="1453"/>
      <c r="D127" s="1453"/>
      <c r="E127" s="1453"/>
      <c r="F127" s="1453"/>
      <c r="G127" s="1453"/>
      <c r="H127" s="1454"/>
      <c r="I127" s="1460"/>
      <c r="J127" s="1453"/>
      <c r="K127" s="1453"/>
      <c r="L127" s="1453"/>
      <c r="M127" s="1453"/>
      <c r="N127" s="1453"/>
      <c r="O127" s="1461"/>
      <c r="P127" s="1274"/>
    </row>
    <row r="128" spans="1:16" ht="24" customHeight="1" x14ac:dyDescent="0.25">
      <c r="A128" s="1274"/>
      <c r="B128" s="1452"/>
      <c r="C128" s="1453"/>
      <c r="D128" s="1453"/>
      <c r="E128" s="1453"/>
      <c r="F128" s="1453"/>
      <c r="G128" s="1453"/>
      <c r="H128" s="1454"/>
      <c r="I128" s="1460"/>
      <c r="J128" s="1453"/>
      <c r="K128" s="1453"/>
      <c r="L128" s="1453"/>
      <c r="M128" s="1453"/>
      <c r="N128" s="1453"/>
      <c r="O128" s="1461"/>
      <c r="P128" s="1274"/>
    </row>
    <row r="129" spans="1:16" ht="24" customHeight="1" x14ac:dyDescent="0.25">
      <c r="A129" s="1274"/>
      <c r="B129" s="1452"/>
      <c r="C129" s="1453"/>
      <c r="D129" s="1453"/>
      <c r="E129" s="1453"/>
      <c r="F129" s="1453"/>
      <c r="G129" s="1453"/>
      <c r="H129" s="1454"/>
      <c r="I129" s="1460"/>
      <c r="J129" s="1453"/>
      <c r="K129" s="1453"/>
      <c r="L129" s="1453"/>
      <c r="M129" s="1453"/>
      <c r="N129" s="1453"/>
      <c r="O129" s="1461"/>
      <c r="P129" s="1274"/>
    </row>
    <row r="130" spans="1:16" ht="24" customHeight="1" x14ac:dyDescent="0.25">
      <c r="A130" s="1274"/>
      <c r="B130" s="1452"/>
      <c r="C130" s="1453"/>
      <c r="D130" s="1453"/>
      <c r="E130" s="1453"/>
      <c r="F130" s="1453"/>
      <c r="G130" s="1453"/>
      <c r="H130" s="1454"/>
      <c r="I130" s="1460"/>
      <c r="J130" s="1453"/>
      <c r="K130" s="1453"/>
      <c r="L130" s="1453"/>
      <c r="M130" s="1453"/>
      <c r="N130" s="1453"/>
      <c r="O130" s="1461"/>
      <c r="P130" s="1274"/>
    </row>
    <row r="131" spans="1:16" ht="24" customHeight="1" x14ac:dyDescent="0.25">
      <c r="A131" s="1274"/>
      <c r="B131" s="1452"/>
      <c r="C131" s="1453"/>
      <c r="D131" s="1453"/>
      <c r="E131" s="1453"/>
      <c r="F131" s="1453"/>
      <c r="G131" s="1453"/>
      <c r="H131" s="1454"/>
      <c r="I131" s="1460"/>
      <c r="J131" s="1453"/>
      <c r="K131" s="1453"/>
      <c r="L131" s="1453"/>
      <c r="M131" s="1453"/>
      <c r="N131" s="1453"/>
      <c r="O131" s="1461"/>
      <c r="P131" s="1274"/>
    </row>
    <row r="132" spans="1:16" ht="24" customHeight="1" x14ac:dyDescent="0.25">
      <c r="A132" s="1274"/>
      <c r="B132" s="1452"/>
      <c r="C132" s="1453"/>
      <c r="D132" s="1453"/>
      <c r="E132" s="1453"/>
      <c r="F132" s="1453"/>
      <c r="G132" s="1453"/>
      <c r="H132" s="1454"/>
      <c r="I132" s="1460"/>
      <c r="J132" s="1453"/>
      <c r="K132" s="1453"/>
      <c r="L132" s="1453"/>
      <c r="M132" s="1453"/>
      <c r="N132" s="1453"/>
      <c r="O132" s="1461"/>
      <c r="P132" s="1274"/>
    </row>
    <row r="133" spans="1:16" ht="24" customHeight="1" x14ac:dyDescent="0.25">
      <c r="A133" s="1274"/>
      <c r="B133" s="1455"/>
      <c r="C133" s="1456"/>
      <c r="D133" s="1456"/>
      <c r="E133" s="1456"/>
      <c r="F133" s="1456"/>
      <c r="G133" s="1456"/>
      <c r="H133" s="1457"/>
      <c r="I133" s="1462"/>
      <c r="J133" s="1456"/>
      <c r="K133" s="1456"/>
      <c r="L133" s="1456"/>
      <c r="M133" s="1456"/>
      <c r="N133" s="1456"/>
      <c r="O133" s="1463"/>
      <c r="P133" s="1274"/>
    </row>
    <row r="134" spans="1:16" ht="29.1" customHeight="1" thickBot="1" x14ac:dyDescent="0.3">
      <c r="A134" s="1274"/>
      <c r="B134" s="485" t="s">
        <v>379</v>
      </c>
      <c r="C134" s="1437"/>
      <c r="D134" s="1437"/>
      <c r="E134" s="1437"/>
      <c r="F134" s="1437"/>
      <c r="G134" s="1437"/>
      <c r="H134" s="1435"/>
      <c r="I134" s="486" t="s">
        <v>380</v>
      </c>
      <c r="J134" s="1437"/>
      <c r="K134" s="1437"/>
      <c r="L134" s="1437"/>
      <c r="M134" s="1437"/>
      <c r="N134" s="1437"/>
      <c r="O134" s="1438"/>
      <c r="P134" s="1274"/>
    </row>
    <row r="135" spans="1:16" ht="24" customHeight="1" x14ac:dyDescent="0.25">
      <c r="A135" s="1274"/>
      <c r="B135" s="1444" t="s">
        <v>358</v>
      </c>
      <c r="C135" s="1445"/>
      <c r="D135" s="1445"/>
      <c r="E135" s="1445"/>
      <c r="F135" s="1445"/>
      <c r="G135" s="1445"/>
      <c r="H135" s="1445"/>
      <c r="I135" s="1445" t="s">
        <v>358</v>
      </c>
      <c r="J135" s="1445"/>
      <c r="K135" s="1445"/>
      <c r="L135" s="1445"/>
      <c r="M135" s="1445"/>
      <c r="N135" s="1445"/>
      <c r="O135" s="1446"/>
      <c r="P135" s="1274"/>
    </row>
    <row r="136" spans="1:16" ht="24" customHeight="1" x14ac:dyDescent="0.25">
      <c r="A136" s="1274"/>
      <c r="B136" s="1414"/>
      <c r="C136" s="1415"/>
      <c r="D136" s="1415"/>
      <c r="E136" s="1415"/>
      <c r="F136" s="1415"/>
      <c r="G136" s="1415"/>
      <c r="H136" s="1415"/>
      <c r="I136" s="1415"/>
      <c r="J136" s="1415"/>
      <c r="K136" s="1415"/>
      <c r="L136" s="1415"/>
      <c r="M136" s="1415"/>
      <c r="N136" s="1415"/>
      <c r="O136" s="1426"/>
      <c r="P136" s="1274"/>
    </row>
    <row r="137" spans="1:16" ht="24" customHeight="1" x14ac:dyDescent="0.25">
      <c r="A137" s="1274"/>
      <c r="B137" s="1414"/>
      <c r="C137" s="1415"/>
      <c r="D137" s="1415"/>
      <c r="E137" s="1415"/>
      <c r="F137" s="1415"/>
      <c r="G137" s="1415"/>
      <c r="H137" s="1415"/>
      <c r="I137" s="1415"/>
      <c r="J137" s="1415"/>
      <c r="K137" s="1415"/>
      <c r="L137" s="1415"/>
      <c r="M137" s="1415"/>
      <c r="N137" s="1415"/>
      <c r="O137" s="1426"/>
      <c r="P137" s="1274"/>
    </row>
    <row r="138" spans="1:16" ht="24" customHeight="1" x14ac:dyDescent="0.25">
      <c r="A138" s="1274"/>
      <c r="B138" s="1414"/>
      <c r="C138" s="1415"/>
      <c r="D138" s="1415"/>
      <c r="E138" s="1415"/>
      <c r="F138" s="1415"/>
      <c r="G138" s="1415"/>
      <c r="H138" s="1415"/>
      <c r="I138" s="1415"/>
      <c r="J138" s="1415"/>
      <c r="K138" s="1415"/>
      <c r="L138" s="1415"/>
      <c r="M138" s="1415"/>
      <c r="N138" s="1415"/>
      <c r="O138" s="1426"/>
      <c r="P138" s="1274"/>
    </row>
    <row r="139" spans="1:16" ht="24" customHeight="1" x14ac:dyDescent="0.25">
      <c r="A139" s="1274"/>
      <c r="B139" s="1414"/>
      <c r="C139" s="1415"/>
      <c r="D139" s="1415"/>
      <c r="E139" s="1415"/>
      <c r="F139" s="1415"/>
      <c r="G139" s="1415"/>
      <c r="H139" s="1415"/>
      <c r="I139" s="1415"/>
      <c r="J139" s="1415"/>
      <c r="K139" s="1415"/>
      <c r="L139" s="1415"/>
      <c r="M139" s="1415"/>
      <c r="N139" s="1415"/>
      <c r="O139" s="1426"/>
      <c r="P139" s="1274"/>
    </row>
    <row r="140" spans="1:16" ht="24" customHeight="1" x14ac:dyDescent="0.25">
      <c r="A140" s="1274"/>
      <c r="B140" s="1414"/>
      <c r="C140" s="1415"/>
      <c r="D140" s="1415"/>
      <c r="E140" s="1415"/>
      <c r="F140" s="1415"/>
      <c r="G140" s="1415"/>
      <c r="H140" s="1415"/>
      <c r="I140" s="1415"/>
      <c r="J140" s="1415"/>
      <c r="K140" s="1415"/>
      <c r="L140" s="1415"/>
      <c r="M140" s="1415"/>
      <c r="N140" s="1415"/>
      <c r="O140" s="1426"/>
      <c r="P140" s="1274"/>
    </row>
    <row r="141" spans="1:16" ht="24" customHeight="1" x14ac:dyDescent="0.25">
      <c r="A141" s="1274"/>
      <c r="B141" s="1414"/>
      <c r="C141" s="1415"/>
      <c r="D141" s="1415"/>
      <c r="E141" s="1415"/>
      <c r="F141" s="1415"/>
      <c r="G141" s="1415"/>
      <c r="H141" s="1415"/>
      <c r="I141" s="1415"/>
      <c r="J141" s="1415"/>
      <c r="K141" s="1415"/>
      <c r="L141" s="1415"/>
      <c r="M141" s="1415"/>
      <c r="N141" s="1415"/>
      <c r="O141" s="1426"/>
      <c r="P141" s="1274"/>
    </row>
    <row r="142" spans="1:16" ht="24" customHeight="1" x14ac:dyDescent="0.25">
      <c r="A142" s="1274"/>
      <c r="B142" s="1452"/>
      <c r="C142" s="1453"/>
      <c r="D142" s="1453"/>
      <c r="E142" s="1453"/>
      <c r="F142" s="1453"/>
      <c r="G142" s="1453"/>
      <c r="H142" s="1454"/>
      <c r="I142" s="1460"/>
      <c r="J142" s="1453"/>
      <c r="K142" s="1453"/>
      <c r="L142" s="1453"/>
      <c r="M142" s="1453"/>
      <c r="N142" s="1453"/>
      <c r="O142" s="1461"/>
      <c r="P142" s="1274"/>
    </row>
    <row r="143" spans="1:16" ht="24" customHeight="1" x14ac:dyDescent="0.25">
      <c r="A143" s="1274"/>
      <c r="B143" s="1452"/>
      <c r="C143" s="1453"/>
      <c r="D143" s="1453"/>
      <c r="E143" s="1453"/>
      <c r="F143" s="1453"/>
      <c r="G143" s="1453"/>
      <c r="H143" s="1454"/>
      <c r="I143" s="1460"/>
      <c r="J143" s="1453"/>
      <c r="K143" s="1453"/>
      <c r="L143" s="1453"/>
      <c r="M143" s="1453"/>
      <c r="N143" s="1453"/>
      <c r="O143" s="1461"/>
      <c r="P143" s="1274"/>
    </row>
    <row r="144" spans="1:16" ht="24" customHeight="1" x14ac:dyDescent="0.25">
      <c r="A144" s="1274"/>
      <c r="B144" s="1455"/>
      <c r="C144" s="1456"/>
      <c r="D144" s="1456"/>
      <c r="E144" s="1456"/>
      <c r="F144" s="1456"/>
      <c r="G144" s="1456"/>
      <c r="H144" s="1457"/>
      <c r="I144" s="1462"/>
      <c r="J144" s="1456"/>
      <c r="K144" s="1456"/>
      <c r="L144" s="1456"/>
      <c r="M144" s="1456"/>
      <c r="N144" s="1456"/>
      <c r="O144" s="1463"/>
      <c r="P144" s="1274"/>
    </row>
    <row r="145" spans="1:16" ht="29.1" customHeight="1" thickBot="1" x14ac:dyDescent="0.3">
      <c r="A145" s="1274"/>
      <c r="B145" s="485" t="s">
        <v>381</v>
      </c>
      <c r="C145" s="1437"/>
      <c r="D145" s="1437"/>
      <c r="E145" s="1437"/>
      <c r="F145" s="1437"/>
      <c r="G145" s="1437"/>
      <c r="H145" s="1435"/>
      <c r="I145" s="486" t="s">
        <v>382</v>
      </c>
      <c r="J145" s="1437"/>
      <c r="K145" s="1437"/>
      <c r="L145" s="1437"/>
      <c r="M145" s="1437"/>
      <c r="N145" s="1437"/>
      <c r="O145" s="1438"/>
      <c r="P145" s="1274"/>
    </row>
  </sheetData>
  <mergeCells count="71">
    <mergeCell ref="P1:P145"/>
    <mergeCell ref="B3:O3"/>
    <mergeCell ref="B1:O1"/>
    <mergeCell ref="B41:O41"/>
    <mergeCell ref="B42:O42"/>
    <mergeCell ref="B76:O76"/>
    <mergeCell ref="B77:O77"/>
    <mergeCell ref="C145:H145"/>
    <mergeCell ref="J145:O145"/>
    <mergeCell ref="B124:H133"/>
    <mergeCell ref="I124:O133"/>
    <mergeCell ref="C134:H134"/>
    <mergeCell ref="J134:O134"/>
    <mergeCell ref="B135:H144"/>
    <mergeCell ref="I135:O144"/>
    <mergeCell ref="C123:H123"/>
    <mergeCell ref="J123:O123"/>
    <mergeCell ref="B111:O111"/>
    <mergeCell ref="B112:O112"/>
    <mergeCell ref="A1:A145"/>
    <mergeCell ref="B100:H109"/>
    <mergeCell ref="I100:O109"/>
    <mergeCell ref="C110:H110"/>
    <mergeCell ref="J110:O110"/>
    <mergeCell ref="B113:H122"/>
    <mergeCell ref="I113:O122"/>
    <mergeCell ref="C88:H88"/>
    <mergeCell ref="J88:O88"/>
    <mergeCell ref="B89:H98"/>
    <mergeCell ref="I89:O98"/>
    <mergeCell ref="C99:H99"/>
    <mergeCell ref="J99:O99"/>
    <mergeCell ref="B65:H74"/>
    <mergeCell ref="I65:O74"/>
    <mergeCell ref="C75:H75"/>
    <mergeCell ref="J75:O75"/>
    <mergeCell ref="B78:H87"/>
    <mergeCell ref="I78:O87"/>
    <mergeCell ref="C53:H53"/>
    <mergeCell ref="J53:O53"/>
    <mergeCell ref="B54:H63"/>
    <mergeCell ref="I54:O63"/>
    <mergeCell ref="C64:H64"/>
    <mergeCell ref="J64:O64"/>
    <mergeCell ref="B30:H39"/>
    <mergeCell ref="I30:O39"/>
    <mergeCell ref="C40:H40"/>
    <mergeCell ref="J40:O40"/>
    <mergeCell ref="B43:H52"/>
    <mergeCell ref="I43:O52"/>
    <mergeCell ref="B19:H28"/>
    <mergeCell ref="I19:O28"/>
    <mergeCell ref="C29:H29"/>
    <mergeCell ref="J29:O29"/>
    <mergeCell ref="C18:H18"/>
    <mergeCell ref="J18:O18"/>
    <mergeCell ref="B2:O2"/>
    <mergeCell ref="B4:C4"/>
    <mergeCell ref="D4:K4"/>
    <mergeCell ref="L4:M4"/>
    <mergeCell ref="N4:O4"/>
    <mergeCell ref="M5:O5"/>
    <mergeCell ref="B6:O6"/>
    <mergeCell ref="B7:O7"/>
    <mergeCell ref="B8:H17"/>
    <mergeCell ref="B5:C5"/>
    <mergeCell ref="D5:E5"/>
    <mergeCell ref="F5:G5"/>
    <mergeCell ref="H5:I5"/>
    <mergeCell ref="J5:L5"/>
    <mergeCell ref="I8:O17"/>
  </mergeCells>
  <pageMargins left="0.51181102362204722" right="0.51181102362204722" top="0.78740157480314965" bottom="0.78740157480314965" header="0.31496062992125984" footer="0.31496062992125984"/>
  <pageSetup paperSize="9" scale="70" orientation="portrait" r:id="rId1"/>
  <headerFooter>
    <oddFooter xml:space="preserve">&amp;L_________________________
PREPOSTO DA CONTRATADA&amp;C________________________
FISCAL DO CONTRATO&amp;R_________________________
FISCAL DOCONTRATO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9</vt:i4>
      </vt:variant>
    </vt:vector>
  </HeadingPairs>
  <TitlesOfParts>
    <vt:vector size="14" baseType="lpstr">
      <vt:lpstr>CAPA</vt:lpstr>
      <vt:lpstr>BM GERAL</vt:lpstr>
      <vt:lpstr>BM DETALHADO</vt:lpstr>
      <vt:lpstr>MEMÓRIA DE CÁLCULO</vt:lpstr>
      <vt:lpstr>RELAT. FOTOG.</vt:lpstr>
      <vt:lpstr>'BM DETALHADO'!Area_de_impressao</vt:lpstr>
      <vt:lpstr>'BM GERAL'!Area_de_impressao</vt:lpstr>
      <vt:lpstr>CAPA!Area_de_impressao</vt:lpstr>
      <vt:lpstr>'MEMÓRIA DE CÁLCULO'!Area_de_impressao</vt:lpstr>
      <vt:lpstr>'RELAT. FOTOG.'!Area_de_impressao</vt:lpstr>
      <vt:lpstr>'BM DETALHADO'!Titulos_de_impressao</vt:lpstr>
      <vt:lpstr>'BM GERAL'!Titulos_de_impressao</vt:lpstr>
      <vt:lpstr>'MEMÓRIA DE CÁLCULO'!Titulos_de_impressao</vt:lpstr>
      <vt:lpstr>'RELAT. FOTOG.'!Titulos_de_impressao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Santos Mendonça</dc:creator>
  <cp:lastModifiedBy>EDUARDO MONTEIRO</cp:lastModifiedBy>
  <cp:lastPrinted>2022-07-05T13:27:09Z</cp:lastPrinted>
  <dcterms:created xsi:type="dcterms:W3CDTF">2020-11-13T17:30:28Z</dcterms:created>
  <dcterms:modified xsi:type="dcterms:W3CDTF">2022-09-01T17:46:23Z</dcterms:modified>
</cp:coreProperties>
</file>